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J:\PD\PDS\Begrotingen bij UBS 2022\20230303 Nieuwe formats\"/>
    </mc:Choice>
  </mc:AlternateContent>
  <xr:revisionPtr revIDLastSave="0" documentId="8_{9A7246AB-9368-42ED-AE70-3DB265F90B20}" xr6:coauthVersionLast="47" xr6:coauthVersionMax="47" xr10:uidLastSave="{00000000-0000-0000-0000-000000000000}"/>
  <bookViews>
    <workbookView xWindow="28740" yWindow="-60" windowWidth="28920" windowHeight="17520" tabRatio="707" xr2:uid="{00000000-000D-0000-FFFF-FFFF00000000}"/>
  </bookViews>
  <sheets>
    <sheet name="Beginpagina" sheetId="10" r:id="rId1"/>
    <sheet name="Personeelskosten" sheetId="19" state="hidden" r:id="rId2"/>
    <sheet name="(Loon)kosten derden" sheetId="20" r:id="rId3"/>
    <sheet name="Overige kosten derden" sheetId="21" state="hidden" r:id="rId4"/>
    <sheet name="Vrijwilligersvergoeding" sheetId="22" state="hidden" r:id="rId5"/>
    <sheet name="Overige kosten vrijwilligers" sheetId="23" state="hidden" r:id="rId6"/>
    <sheet name="Machines en apparatuur" sheetId="24" state="hidden" r:id="rId7"/>
    <sheet name="Totaaloverzicht" sheetId="25" r:id="rId8"/>
  </sheets>
  <definedNames>
    <definedName name="ActiviteitNr">Activiteiten[Activiteit Nr.]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 r="J18" i="19"/>
  <c r="J19" i="19"/>
  <c r="J20" i="19"/>
  <c r="I16" i="19"/>
  <c r="J16" i="19" s="1"/>
  <c r="I17" i="19"/>
  <c r="I18" i="19"/>
  <c r="I19" i="19"/>
  <c r="I20" i="19"/>
  <c r="I21" i="24"/>
  <c r="L20" i="19" l="1"/>
  <c r="L19" i="19"/>
  <c r="L18" i="19"/>
  <c r="L17" i="19"/>
  <c r="L16" i="19"/>
  <c r="L25" i="24"/>
  <c r="L24" i="24"/>
  <c r="L23" i="24"/>
  <c r="L22" i="24"/>
  <c r="N17" i="19" l="1"/>
  <c r="N18" i="19"/>
  <c r="N19" i="19"/>
  <c r="N20" i="19"/>
  <c r="H16" i="22" l="1"/>
  <c r="H17" i="22"/>
  <c r="H18" i="22"/>
  <c r="H19" i="22"/>
  <c r="H20" i="22"/>
  <c r="I16" i="20"/>
  <c r="J31" i="20" l="1"/>
  <c r="Q18" i="20" l="1"/>
  <c r="Q17" i="20"/>
  <c r="Q16" i="20"/>
  <c r="H21" i="22" l="1"/>
  <c r="M21" i="24"/>
  <c r="M22" i="24"/>
  <c r="M23" i="24"/>
  <c r="M24" i="24"/>
  <c r="M25" i="24"/>
  <c r="C31" i="19" l="1"/>
  <c r="C44" i="20"/>
  <c r="H23" i="10"/>
  <c r="D34" i="24" l="1"/>
  <c r="C34" i="24"/>
  <c r="L34" i="24" s="1"/>
  <c r="I29" i="20"/>
  <c r="N16" i="19"/>
  <c r="N21" i="19" l="1"/>
  <c r="C16" i="25"/>
  <c r="C35" i="24"/>
  <c r="L35" i="24" s="1"/>
  <c r="C30" i="23"/>
  <c r="L30" i="23" s="1"/>
  <c r="C30" i="22"/>
  <c r="L30" i="22" s="1"/>
  <c r="C43" i="20"/>
  <c r="K43" i="20" s="1"/>
  <c r="C30" i="19"/>
  <c r="H26" i="10"/>
  <c r="H16" i="25" l="1"/>
  <c r="E16" i="25"/>
  <c r="J33" i="20"/>
  <c r="I33" i="20"/>
  <c r="J32" i="20"/>
  <c r="I32" i="20"/>
  <c r="I31" i="20"/>
  <c r="J30" i="20"/>
  <c r="I30" i="20"/>
  <c r="J29" i="20"/>
  <c r="I34" i="20" l="1"/>
  <c r="K30" i="20"/>
  <c r="K29" i="20"/>
  <c r="K31" i="20"/>
  <c r="K33" i="20"/>
  <c r="K32" i="20"/>
  <c r="L43" i="20"/>
  <c r="D43" i="20"/>
  <c r="C31" i="24"/>
  <c r="L31" i="24" s="1"/>
  <c r="K34" i="20" l="1"/>
  <c r="J16" i="20"/>
  <c r="I17" i="20"/>
  <c r="I18" i="20"/>
  <c r="I19" i="20"/>
  <c r="I20" i="20"/>
  <c r="I21" i="20" l="1"/>
  <c r="K16" i="20"/>
  <c r="C90" i="25"/>
  <c r="C66" i="24"/>
  <c r="C61" i="23"/>
  <c r="C61" i="22"/>
  <c r="C74" i="20"/>
  <c r="C61" i="21"/>
  <c r="C61" i="19"/>
  <c r="C66" i="10"/>
  <c r="E48" i="25"/>
  <c r="E37" i="25"/>
  <c r="J16" i="21"/>
  <c r="J17" i="21"/>
  <c r="J18" i="21"/>
  <c r="J19" i="21"/>
  <c r="J20" i="21"/>
  <c r="I16" i="21"/>
  <c r="I17" i="21"/>
  <c r="I18" i="21"/>
  <c r="I19" i="21"/>
  <c r="I20" i="21"/>
  <c r="I16" i="23"/>
  <c r="I17" i="23"/>
  <c r="I18" i="23"/>
  <c r="I19" i="23"/>
  <c r="I20" i="23"/>
  <c r="I21" i="23" l="1"/>
  <c r="K17" i="21"/>
  <c r="K20" i="21"/>
  <c r="K16" i="21"/>
  <c r="K19" i="21"/>
  <c r="K18" i="21"/>
  <c r="D16" i="25" l="1"/>
  <c r="D15" i="25"/>
  <c r="D14" i="25"/>
  <c r="D13" i="25"/>
  <c r="D12" i="25"/>
  <c r="C15" i="25"/>
  <c r="C14" i="25"/>
  <c r="C13" i="25"/>
  <c r="C12" i="25"/>
  <c r="H12" i="25" s="1"/>
  <c r="H15" i="25" l="1"/>
  <c r="E15" i="25"/>
  <c r="H14" i="25"/>
  <c r="E14" i="25"/>
  <c r="H13" i="25"/>
  <c r="E13" i="25"/>
  <c r="J16" i="23"/>
  <c r="K16" i="23" s="1"/>
  <c r="J17" i="23"/>
  <c r="K17" i="23" s="1"/>
  <c r="J18" i="23"/>
  <c r="K18" i="23" s="1"/>
  <c r="J19" i="23"/>
  <c r="K19" i="23" s="1"/>
  <c r="J20" i="23"/>
  <c r="K20" i="23" s="1"/>
  <c r="C36" i="24"/>
  <c r="D35" i="24"/>
  <c r="D33" i="24"/>
  <c r="C33" i="24"/>
  <c r="L33" i="24" s="1"/>
  <c r="D32" i="24"/>
  <c r="C32" i="24"/>
  <c r="L32" i="24" s="1"/>
  <c r="D31" i="24"/>
  <c r="C31" i="23"/>
  <c r="D30" i="23"/>
  <c r="D29" i="23"/>
  <c r="C29" i="23"/>
  <c r="L29" i="23" s="1"/>
  <c r="D28" i="23"/>
  <c r="C28" i="23"/>
  <c r="L28" i="23" s="1"/>
  <c r="D27" i="23"/>
  <c r="C27" i="23"/>
  <c r="L27" i="23" s="1"/>
  <c r="D26" i="23"/>
  <c r="C26" i="23"/>
  <c r="L26" i="23" s="1"/>
  <c r="I16" i="22"/>
  <c r="I17" i="22"/>
  <c r="I18" i="22"/>
  <c r="I19" i="22"/>
  <c r="I20" i="22"/>
  <c r="C31" i="22"/>
  <c r="D30" i="22"/>
  <c r="D29" i="22"/>
  <c r="C29" i="22"/>
  <c r="L29" i="22" s="1"/>
  <c r="D28" i="22"/>
  <c r="C28" i="22"/>
  <c r="L28" i="22" s="1"/>
  <c r="D27" i="22"/>
  <c r="C27" i="22"/>
  <c r="L27" i="22" s="1"/>
  <c r="D26" i="22"/>
  <c r="C26" i="22"/>
  <c r="L26" i="22" s="1"/>
  <c r="D30" i="21"/>
  <c r="D29" i="21"/>
  <c r="D28" i="21"/>
  <c r="D27" i="21"/>
  <c r="D26" i="21"/>
  <c r="C26" i="21"/>
  <c r="L26" i="21" s="1"/>
  <c r="C31" i="21"/>
  <c r="C30" i="21"/>
  <c r="L30" i="21" s="1"/>
  <c r="C29" i="21"/>
  <c r="L29" i="21" s="1"/>
  <c r="C28" i="21"/>
  <c r="L28" i="21" s="1"/>
  <c r="C27" i="21"/>
  <c r="L27" i="21" s="1"/>
  <c r="J17" i="20"/>
  <c r="K17" i="20" s="1"/>
  <c r="J18" i="20"/>
  <c r="K18" i="20" s="1"/>
  <c r="J19" i="20"/>
  <c r="K19" i="20" s="1"/>
  <c r="J20" i="20"/>
  <c r="K20" i="20" s="1"/>
  <c r="O16" i="19"/>
  <c r="P16" i="19" s="1"/>
  <c r="O17" i="19"/>
  <c r="O18" i="19"/>
  <c r="O19" i="19"/>
  <c r="O20" i="19"/>
  <c r="D42" i="20"/>
  <c r="D41" i="20"/>
  <c r="D40" i="20"/>
  <c r="D39" i="20"/>
  <c r="C39" i="20"/>
  <c r="K39" i="20" s="1"/>
  <c r="C42" i="20"/>
  <c r="K42" i="20" s="1"/>
  <c r="C41" i="20"/>
  <c r="K41" i="20" s="1"/>
  <c r="C40" i="20"/>
  <c r="K40" i="20" s="1"/>
  <c r="P17" i="22" l="1"/>
  <c r="J17" i="22"/>
  <c r="P20" i="22"/>
  <c r="J20" i="22"/>
  <c r="P19" i="22"/>
  <c r="J19" i="22"/>
  <c r="P18" i="22"/>
  <c r="J18" i="22"/>
  <c r="P16" i="22"/>
  <c r="J16" i="22"/>
  <c r="K21" i="20"/>
  <c r="K21" i="23"/>
  <c r="P19" i="19"/>
  <c r="J21" i="22" l="1"/>
  <c r="J30" i="21"/>
  <c r="M30" i="21" s="1"/>
  <c r="N30" i="19"/>
  <c r="C29" i="19"/>
  <c r="N29" i="19" s="1"/>
  <c r="C28" i="19"/>
  <c r="N28" i="19" s="1"/>
  <c r="C27" i="19"/>
  <c r="N27" i="19" s="1"/>
  <c r="C26" i="19"/>
  <c r="N26" i="19" s="1"/>
  <c r="M39" i="19"/>
  <c r="P20" i="19"/>
  <c r="P17" i="19"/>
  <c r="J28" i="21" l="1"/>
  <c r="M28" i="21" s="1"/>
  <c r="I22" i="24" l="1"/>
  <c r="N22" i="24" s="1"/>
  <c r="I23" i="24"/>
  <c r="N23" i="24" s="1"/>
  <c r="I24" i="24"/>
  <c r="N24" i="24" s="1"/>
  <c r="P18" i="19" l="1"/>
  <c r="J29" i="21" l="1"/>
  <c r="M29" i="21" s="1"/>
  <c r="L21" i="24"/>
  <c r="I25" i="24"/>
  <c r="N25" i="24" s="1"/>
  <c r="E12" i="25" l="1"/>
  <c r="E19" i="25" s="1"/>
  <c r="D58" i="25" s="1"/>
  <c r="J26" i="21"/>
  <c r="M26" i="21" s="1"/>
  <c r="P21" i="19"/>
  <c r="L26" i="24"/>
  <c r="N21" i="24"/>
  <c r="J27" i="21"/>
  <c r="M27" i="21" s="1"/>
  <c r="D30" i="19"/>
  <c r="D29" i="19"/>
  <c r="D28" i="19"/>
  <c r="D27" i="19"/>
  <c r="D26" i="19"/>
  <c r="H25" i="10"/>
  <c r="H24" i="10"/>
  <c r="H22" i="10"/>
  <c r="J26" i="23" l="1"/>
  <c r="M26" i="23" s="1"/>
  <c r="I39" i="20"/>
  <c r="L39" i="20" s="1"/>
  <c r="L26" i="19"/>
  <c r="O26" i="19" s="1"/>
  <c r="J26" i="22"/>
  <c r="M26" i="22" s="1"/>
  <c r="J31" i="24"/>
  <c r="M31" i="24" s="1"/>
  <c r="J12" i="25"/>
  <c r="F12" i="25" s="1"/>
  <c r="K12" i="25" s="1"/>
  <c r="J32" i="24"/>
  <c r="M32" i="24" s="1"/>
  <c r="J28" i="22"/>
  <c r="M28" i="22" s="1"/>
  <c r="I40" i="20"/>
  <c r="L40" i="20" s="1"/>
  <c r="L30" i="19"/>
  <c r="O30" i="19" s="1"/>
  <c r="J30" i="23"/>
  <c r="M30" i="23" s="1"/>
  <c r="J35" i="24"/>
  <c r="M35" i="24" s="1"/>
  <c r="J15" i="25"/>
  <c r="F15" i="25" s="1"/>
  <c r="K15" i="25" s="1"/>
  <c r="J29" i="23"/>
  <c r="M29" i="23" s="1"/>
  <c r="J27" i="23"/>
  <c r="M27" i="23" s="1"/>
  <c r="J29" i="22"/>
  <c r="M29" i="22" s="1"/>
  <c r="I41" i="20"/>
  <c r="L41" i="20" s="1"/>
  <c r="L27" i="19"/>
  <c r="O27" i="19" s="1"/>
  <c r="J16" i="25"/>
  <c r="F16" i="25" s="1"/>
  <c r="K16" i="25" s="1"/>
  <c r="L29" i="19"/>
  <c r="O29" i="19" s="1"/>
  <c r="J14" i="25"/>
  <c r="F14" i="25" s="1"/>
  <c r="K14" i="25" s="1"/>
  <c r="J30" i="22"/>
  <c r="M30" i="22" s="1"/>
  <c r="I42" i="20"/>
  <c r="L42" i="20" s="1"/>
  <c r="L28" i="19"/>
  <c r="O28" i="19" s="1"/>
  <c r="J28" i="23"/>
  <c r="M28" i="23" s="1"/>
  <c r="J33" i="24"/>
  <c r="M33" i="24" s="1"/>
  <c r="J13" i="25"/>
  <c r="F13" i="25" s="1"/>
  <c r="K13" i="25" s="1"/>
  <c r="J27" i="22"/>
  <c r="M27" i="22" s="1"/>
  <c r="I43" i="20"/>
  <c r="J34" i="24"/>
  <c r="M34" i="24" s="1"/>
  <c r="N26" i="24"/>
  <c r="F19" i="25" l="1"/>
  <c r="E52" i="25" s="1"/>
  <c r="C58" i="25" s="1"/>
  <c r="E58" i="25" s="1"/>
  <c r="H19" i="25"/>
  <c r="J19" i="25"/>
  <c r="G29" i="25" l="1"/>
</calcChain>
</file>

<file path=xl/sharedStrings.xml><?xml version="1.0" encoding="utf-8"?>
<sst xmlns="http://schemas.openxmlformats.org/spreadsheetml/2006/main" count="282" uniqueCount="121">
  <si>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</si>
  <si>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</si>
  <si>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</si>
  <si>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</si>
  <si>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</si>
  <si>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</si>
  <si>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</si>
  <si>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</si>
  <si>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</si>
  <si>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</si>
  <si>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</si>
  <si>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</si>
  <si>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</si>
  <si>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</si>
  <si>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</si>
  <si>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</si>
  <si>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Min. Bedrag</t>
  </si>
  <si>
    <t>Max. Bedrag</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</si>
  <si>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</si>
  <si>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</si>
  <si>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</si>
  <si>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</si>
  <si>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</si>
  <si>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</si>
  <si>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</si>
  <si>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</si>
  <si>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</si>
  <si>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</si>
  <si>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</si>
  <si>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</si>
  <si>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</si>
  <si>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</si>
  <si>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</si>
  <si>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</si>
  <si>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</si>
  <si>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</si>
  <si>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</si>
  <si>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</si>
  <si>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</si>
  <si>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</si>
  <si>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</si>
  <si>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</si>
  <si>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</si>
  <si>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</si>
  <si>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</si>
  <si>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</si>
  <si>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</si>
  <si>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</si>
  <si>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</si>
  <si>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</si>
  <si>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</si>
  <si>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</si>
  <si>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</si>
  <si>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</si>
  <si>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</si>
  <si>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</si>
  <si>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t>Bijdrage ex. btw</t>
  </si>
  <si>
    <t>Functie vrijwilliger</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</si>
  <si>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</si>
  <si>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</si>
  <si>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</si>
  <si>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</si>
  <si>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</si>
  <si>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</si>
  <si>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</si>
  <si>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</si>
  <si>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</si>
  <si>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</si>
  <si>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Kolom32</t>
  </si>
  <si>
    <t>Kolom33</t>
  </si>
  <si>
    <t>Kolom13</t>
  </si>
  <si>
    <t>Maximaal subsidie bedrag</t>
  </si>
  <si>
    <t>Dit zijn kosten van geleverde materialen en/of diensten door derden.</t>
  </si>
  <si>
    <t>Loonkosten van medewerkers in dienst van de aanvrager.</t>
  </si>
  <si>
    <t>Urenvergoeding voor de inzet van vrijwilligers.</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</si>
  <si>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</si>
  <si>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</si>
  <si>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</si>
  <si>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</si>
  <si>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Nog in te vullen inkomsten:</t>
  </si>
  <si>
    <t>Rekenhulp</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</si>
  <si>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</si>
  <si>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</si>
  <si>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</si>
  <si>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</si>
  <si>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</si>
  <si>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</si>
  <si>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</si>
  <si>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</si>
  <si>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</si>
  <si>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</si>
  <si>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</si>
  <si>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</si>
  <si>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</si>
  <si>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Vrijwilligersvergoeding</t>
  </si>
  <si>
    <t>Kosten totaal</t>
  </si>
  <si>
    <t>Subsidie aanvraag</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</si>
  <si>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</si>
  <si>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</si>
  <si>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</si>
  <si>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</si>
  <si>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</si>
  <si>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</si>
  <si>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</si>
  <si>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</si>
  <si>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</si>
  <si>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Onderstaand overzicht geeft de activiteiten weer van de subsidieregeling.</t>
    </r>
    <r>
      <rPr>
        <b/>
        <sz val="9"/>
        <color theme="1"/>
        <rFont val="Verdana"/>
        <family val="2"/>
      </rPr>
      <t xml:space="preserve"> In onderstaand overzicht hoeft u niets in te vullen.</t>
    </r>
    <r>
      <rPr>
        <sz val="9"/>
        <color theme="1"/>
        <rFont val="Verdana"/>
        <family val="2"/>
      </rPr>
      <t xml:space="preserve"> Heeft u aanvullingen dan kunt u die in het tekstvak onder deze tabel kwijt.</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</si>
  <si>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</si>
  <si>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</si>
  <si>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</si>
  <si>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Aangevraagde subsidie Provincie Overijssel:</t>
  </si>
  <si>
    <t>Aangevraagde subsidie Provincie Overijssel</t>
  </si>
  <si>
    <t>Aangevraagde subsidie bijdrage</t>
  </si>
  <si>
    <t>Berekend uurtarief var. kosten + opslag</t>
  </si>
  <si>
    <t xml:space="preserve">  </t>
  </si>
  <si>
    <t>Paragraaf 3.6 Lokale energie-initiatieven 4.0</t>
  </si>
  <si>
    <t xml:space="preserve">Het inrichten en oprichten van een LEI </t>
  </si>
  <si>
    <t xml:space="preserve">Uitvoeren van een energiebesparingsproject/eenvoudige energiebesparingsmaatregelen </t>
  </si>
  <si>
    <t xml:space="preserve">Opleiden van vrijwilligers tot energiefixer of energiebesparingscoach </t>
  </si>
  <si>
    <t xml:space="preserve">Het voorbereiden van een energieopwekproject </t>
  </si>
  <si>
    <t xml:space="preserve">Het voorbereiden van een grootschalig energieopwekproject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</si>
</sst>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7"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
      <b/>
      <sz val="9"/>
      <color theme="1"/>
      <name val="Verdan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5A9A"/>
        <bgColor theme="8"/>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5">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rgb="FFD4EDFC"/>
      </left>
      <right/>
      <top style="medium">
        <color rgb="FFD4EDFC"/>
      </top>
      <bottom style="medium">
        <color rgb="FFD4EDFC"/>
      </bottom>
      <diagonal/>
    </border>
    <border>
      <left/>
      <right style="medium">
        <color rgb="FFD4EDFC"/>
      </right>
      <top style="medium">
        <color rgb="FFD4EDFC"/>
      </top>
      <bottom style="medium">
        <color rgb="FFD4EDFC"/>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96">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2" fillId="3" borderId="0" xfId="0" applyFont="1" applyFill="1" applyBorder="1" applyAlignment="1">
      <alignment horizontal="left" vertical="center" indent="1"/>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3" fillId="5" borderId="0" xfId="0" applyFont="1" applyFill="1" applyAlignment="1">
      <alignment horizontal="center" vertical="center"/>
    </xf>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168" fontId="3" fillId="5" borderId="0"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0" borderId="0" xfId="0" applyNumberFormat="1" applyBorder="1"/>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0" fontId="0" fillId="3" borderId="0" xfId="0" applyNumberFormat="1" applyFill="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9" fontId="0" fillId="0" borderId="0" xfId="2" applyFont="1" applyBorder="1"/>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0" fillId="2" borderId="0" xfId="0" applyFill="1" applyBorder="1" applyAlignment="1">
      <alignment vertical="center" wrapText="1"/>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170" fontId="2" fillId="2" borderId="0" xfId="0" applyNumberFormat="1" applyFont="1" applyFill="1" applyAlignment="1">
      <alignment horizontal="center" vertical="center" wrapText="1"/>
    </xf>
    <xf numFmtId="170" fontId="2" fillId="2" borderId="0" xfId="0" applyNumberFormat="1" applyFont="1" applyFill="1" applyAlignment="1">
      <alignment horizontal="center" wrapText="1"/>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8" xfId="0" applyNumberFormat="1" applyFont="1" applyFill="1" applyBorder="1" applyAlignment="1">
      <alignment horizontal="center" vertical="center" wrapText="1"/>
    </xf>
    <xf numFmtId="170" fontId="0" fillId="5" borderId="0" xfId="0" applyNumberFormat="1" applyFont="1" applyFill="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0" fontId="11" fillId="0" borderId="0" xfId="0" applyNumberFormat="1" applyFont="1" applyFill="1"/>
    <xf numFmtId="170" fontId="3" fillId="5" borderId="0" xfId="0" applyNumberFormat="1" applyFont="1" applyFill="1" applyAlignment="1" applyProtection="1">
      <alignment horizontal="center" vertical="center"/>
      <protection locked="0"/>
    </xf>
    <xf numFmtId="9" fontId="3" fillId="5" borderId="0" xfId="2"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9" fontId="3" fillId="5" borderId="0" xfId="2"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3"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vertical="center" wrapText="1"/>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3"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0" fontId="3" fillId="5" borderId="0" xfId="0" applyFont="1" applyFill="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wrapText="1"/>
      <protection locked="0"/>
    </xf>
    <xf numFmtId="9" fontId="22" fillId="5" borderId="0" xfId="2" applyFont="1" applyFill="1" applyBorder="1" applyAlignment="1" applyProtection="1">
      <alignment horizontal="center" vertical="center"/>
      <protection locked="0"/>
    </xf>
    <xf numFmtId="170" fontId="22" fillId="5" borderId="0" xfId="0" applyNumberFormat="1" applyFont="1" applyFill="1" applyBorder="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0" fontId="21"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8" xfId="0" applyNumberFormat="1" applyFont="1" applyFill="1" applyBorder="1" applyAlignment="1">
      <alignment horizontal="center" vertical="center" wrapText="1"/>
    </xf>
    <xf numFmtId="0" fontId="14" fillId="9"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7" xfId="0" applyNumberFormat="1" applyFont="1" applyFill="1" applyBorder="1" applyAlignment="1">
      <alignment vertical="center" wrapText="1"/>
    </xf>
    <xf numFmtId="170" fontId="14" fillId="2" borderId="29"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19" fillId="2" borderId="0" xfId="0" applyNumberFormat="1" applyFont="1" applyFill="1" applyAlignment="1">
      <alignment horizontal="left" vertical="center" indent="1"/>
    </xf>
    <xf numFmtId="0" fontId="19" fillId="2" borderId="0" xfId="0" applyFont="1" applyFill="1" applyBorder="1" applyAlignment="1">
      <alignment horizontal="left" vertical="center" indent="1"/>
    </xf>
    <xf numFmtId="0" fontId="19"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0" fillId="6" borderId="0" xfId="0" applyNumberFormat="1" applyFill="1" applyAlignment="1">
      <alignment horizontal="left" indent="1"/>
    </xf>
    <xf numFmtId="0" fontId="26" fillId="0" borderId="0" xfId="0" applyFont="1" applyAlignment="1">
      <alignment vertical="center"/>
    </xf>
    <xf numFmtId="2" fontId="3" fillId="5" borderId="0" xfId="5" applyNumberFormat="1" applyFont="1" applyFill="1" applyAlignment="1">
      <alignment horizontal="center" vertical="center"/>
    </xf>
    <xf numFmtId="2" fontId="3" fillId="5" borderId="0" xfId="5" applyNumberFormat="1" applyFont="1" applyFill="1" applyBorder="1" applyAlignment="1">
      <alignment horizontal="center" vertical="center"/>
    </xf>
    <xf numFmtId="0" fontId="3" fillId="10" borderId="0" xfId="0" applyFont="1" applyFill="1" applyAlignment="1">
      <alignment horizontal="center" vertical="center"/>
    </xf>
    <xf numFmtId="0" fontId="3" fillId="10" borderId="0" xfId="0" applyFont="1" applyFill="1" applyAlignment="1">
      <alignment horizontal="left" vertical="center" wrapText="1"/>
    </xf>
    <xf numFmtId="0" fontId="3" fillId="10" borderId="0" xfId="0" applyFont="1" applyFill="1" applyAlignment="1">
      <alignment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left" vertical="center" wrapText="1"/>
    </xf>
    <xf numFmtId="1" fontId="3" fillId="10" borderId="0" xfId="0" applyNumberFormat="1" applyFont="1" applyFill="1" applyAlignment="1">
      <alignment horizontal="center" vertical="center"/>
    </xf>
    <xf numFmtId="1" fontId="3" fillId="10" borderId="0" xfId="0" applyNumberFormat="1" applyFont="1" applyFill="1" applyBorder="1" applyAlignment="1">
      <alignment horizontal="center" vertical="center"/>
    </xf>
    <xf numFmtId="0" fontId="3" fillId="10" borderId="0" xfId="0" applyFont="1" applyFill="1" applyAlignment="1" applyProtection="1">
      <alignment horizontal="center" vertical="center"/>
      <protection locked="0"/>
    </xf>
    <xf numFmtId="0" fontId="3" fillId="10" borderId="0" xfId="0" applyFont="1" applyFill="1" applyAlignment="1" applyProtection="1">
      <alignment horizontal="center" vertical="center" wrapText="1"/>
      <protection locked="0"/>
    </xf>
    <xf numFmtId="170" fontId="3" fillId="10" borderId="0" xfId="0" applyNumberFormat="1" applyFont="1" applyFill="1" applyAlignment="1" applyProtection="1">
      <alignment horizontal="center" vertical="center"/>
      <protection locked="0"/>
    </xf>
    <xf numFmtId="9" fontId="3" fillId="10" borderId="0" xfId="0" applyNumberFormat="1" applyFont="1" applyFill="1" applyAlignment="1" applyProtection="1">
      <alignment horizontal="center" vertical="center" wrapText="1"/>
      <protection locked="0"/>
    </xf>
    <xf numFmtId="0" fontId="3" fillId="10" borderId="0"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wrapText="1"/>
      <protection locked="0"/>
    </xf>
    <xf numFmtId="170" fontId="3" fillId="10" borderId="0" xfId="0" applyNumberFormat="1" applyFont="1" applyFill="1" applyBorder="1" applyAlignment="1" applyProtection="1">
      <alignment horizontal="center" vertical="center"/>
      <protection locked="0"/>
    </xf>
    <xf numFmtId="0" fontId="3" fillId="10" borderId="0" xfId="0" applyFont="1" applyFill="1" applyAlignment="1">
      <alignment horizontal="center" vertical="center" wrapText="1"/>
    </xf>
    <xf numFmtId="164" fontId="3" fillId="10" borderId="0" xfId="0" applyNumberFormat="1" applyFont="1" applyFill="1" applyAlignment="1">
      <alignment horizontal="center" vertical="center"/>
    </xf>
    <xf numFmtId="9" fontId="3" fillId="10" borderId="0" xfId="0" applyNumberFormat="1" applyFont="1" applyFill="1" applyAlignment="1">
      <alignment horizontal="center" vertical="center" wrapText="1"/>
    </xf>
    <xf numFmtId="0" fontId="3" fillId="10" borderId="0" xfId="0" applyNumberFormat="1" applyFont="1" applyFill="1"/>
    <xf numFmtId="0" fontId="3" fillId="10" borderId="0" xfId="0" applyFont="1" applyFill="1" applyAlignment="1">
      <alignment horizontal="left" wrapText="1"/>
    </xf>
    <xf numFmtId="170" fontId="3" fillId="10" borderId="0" xfId="0" applyNumberFormat="1" applyFont="1" applyFill="1" applyAlignment="1">
      <alignment horizontal="center" vertical="center"/>
    </xf>
    <xf numFmtId="0" fontId="3" fillId="10" borderId="0" xfId="0" applyFont="1" applyFill="1" applyAlignment="1">
      <alignment wrapText="1"/>
    </xf>
    <xf numFmtId="167" fontId="3" fillId="10" borderId="0" xfId="0" applyNumberFormat="1" applyFont="1" applyFill="1" applyAlignment="1">
      <alignment horizontal="center" vertical="center"/>
    </xf>
    <xf numFmtId="0" fontId="3" fillId="10" borderId="0" xfId="0" applyFont="1" applyFill="1" applyAlignment="1">
      <alignment vertical="top" wrapText="1"/>
    </xf>
    <xf numFmtId="14" fontId="3" fillId="10" borderId="0" xfId="0" applyNumberFormat="1" applyFont="1" applyFill="1" applyAlignment="1">
      <alignment horizontal="center" vertical="center"/>
    </xf>
    <xf numFmtId="9" fontId="3" fillId="10" borderId="0" xfId="2" applyFont="1" applyFill="1" applyAlignment="1">
      <alignment horizontal="center" vertical="center"/>
    </xf>
    <xf numFmtId="171" fontId="3" fillId="10" borderId="22" xfId="5" applyNumberFormat="1" applyFont="1" applyFill="1" applyBorder="1" applyAlignment="1">
      <alignment horizontal="center" vertical="center" wrapText="1"/>
    </xf>
    <xf numFmtId="170" fontId="3" fillId="10" borderId="22" xfId="0" applyNumberFormat="1" applyFont="1" applyFill="1" applyBorder="1" applyAlignment="1">
      <alignment horizontal="left" vertical="center" wrapText="1" indent="1"/>
    </xf>
    <xf numFmtId="170" fontId="3" fillId="10" borderId="22" xfId="0" applyNumberFormat="1" applyFont="1" applyFill="1" applyBorder="1" applyAlignment="1">
      <alignment horizontal="center" vertical="center"/>
    </xf>
    <xf numFmtId="170" fontId="3" fillId="10" borderId="22" xfId="0" applyNumberFormat="1" applyFont="1" applyFill="1" applyBorder="1" applyAlignment="1">
      <alignment horizontal="center" wrapText="1"/>
    </xf>
    <xf numFmtId="170" fontId="3" fillId="10" borderId="25" xfId="0" applyNumberFormat="1" applyFont="1" applyFill="1" applyBorder="1" applyAlignment="1">
      <alignment horizontal="center" vertical="center"/>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10" borderId="1" xfId="0" applyNumberFormat="1" applyFont="1" applyFill="1" applyBorder="1" applyAlignment="1">
      <alignment horizontal="left"/>
    </xf>
    <xf numFmtId="0" fontId="0" fillId="10" borderId="2" xfId="0" applyNumberFormat="1" applyFont="1" applyFill="1" applyBorder="1" applyAlignment="1">
      <alignment horizontal="left"/>
    </xf>
    <xf numFmtId="0" fontId="0" fillId="10" borderId="3" xfId="0" applyNumberFormat="1" applyFont="1" applyFill="1" applyBorder="1" applyAlignment="1">
      <alignment horizontal="left"/>
    </xf>
    <xf numFmtId="0" fontId="9" fillId="0" borderId="0" xfId="0" applyNumberFormat="1" applyFont="1" applyBorder="1"/>
    <xf numFmtId="0" fontId="9" fillId="0" borderId="0" xfId="0" applyFont="1" applyAlignment="1">
      <alignment horizontal="left" vertical="center" wrapText="1"/>
    </xf>
    <xf numFmtId="0" fontId="0" fillId="10" borderId="1" xfId="0" applyNumberFormat="1" applyFont="1" applyFill="1" applyBorder="1" applyAlignment="1">
      <alignment horizontal="center"/>
    </xf>
    <xf numFmtId="0" fontId="0" fillId="10" borderId="2" xfId="0" applyNumberFormat="1" applyFont="1" applyFill="1" applyBorder="1" applyAlignment="1">
      <alignment horizontal="center"/>
    </xf>
    <xf numFmtId="0" fontId="0" fillId="10" borderId="3" xfId="0" applyNumberFormat="1" applyFont="1" applyFill="1" applyBorder="1" applyAlignment="1">
      <alignment horizontal="center"/>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0" fontId="0" fillId="10" borderId="0"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49" fontId="9" fillId="2" borderId="0" xfId="0" applyNumberFormat="1" applyFont="1" applyFill="1" applyBorder="1" applyAlignment="1">
      <alignment horizontal="left" vertical="center" wrapText="1"/>
    </xf>
    <xf numFmtId="0" fontId="14" fillId="3" borderId="0" xfId="0" applyFont="1" applyFill="1" applyBorder="1" applyAlignment="1">
      <alignment horizontal="center" vertical="center" wrapText="1"/>
    </xf>
    <xf numFmtId="170" fontId="2" fillId="2" borderId="0" xfId="0" applyNumberFormat="1" applyFont="1" applyFill="1" applyAlignment="1">
      <alignment horizontal="center" vertical="center" wrapText="1"/>
    </xf>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wrapText="1"/>
    </xf>
    <xf numFmtId="0" fontId="2" fillId="2" borderId="0" xfId="0" applyFont="1" applyFill="1" applyAlignment="1">
      <alignment horizontal="left" vertical="center" wrapText="1" indent="1"/>
    </xf>
    <xf numFmtId="0" fontId="9" fillId="2" borderId="0" xfId="0" applyFont="1" applyFill="1" applyAlignment="1">
      <alignment horizontal="left" vertical="top" wrapTex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0" fontId="3" fillId="5" borderId="0" xfId="0" applyFont="1" applyFill="1" applyAlignment="1">
      <alignment horizontal="left" vertical="center" wrapText="1" indent="1"/>
    </xf>
    <xf numFmtId="170" fontId="2" fillId="5" borderId="0" xfId="0" applyNumberFormat="1" applyFont="1" applyFill="1" applyAlignment="1">
      <alignment horizontal="center" vertical="center" wrapText="1"/>
    </xf>
    <xf numFmtId="0" fontId="18" fillId="2" borderId="0" xfId="0" applyNumberFormat="1" applyFont="1" applyFill="1" applyAlignment="1">
      <alignment horizontal="left" vertical="top" wrapText="1"/>
    </xf>
    <xf numFmtId="170" fontId="3" fillId="5" borderId="16" xfId="0" applyNumberFormat="1" applyFont="1" applyFill="1" applyBorder="1" applyAlignment="1">
      <alignment horizontal="center" vertical="center" wrapText="1"/>
    </xf>
    <xf numFmtId="170" fontId="3" fillId="5" borderId="15" xfId="0" applyNumberFormat="1" applyFont="1" applyFill="1" applyBorder="1" applyAlignment="1">
      <alignment horizontal="center" vertical="center" wrapText="1"/>
    </xf>
    <xf numFmtId="0" fontId="14" fillId="7" borderId="31"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xf numFmtId="0" fontId="3" fillId="10" borderId="16" xfId="0" applyFont="1" applyFill="1" applyBorder="1" applyAlignment="1">
      <alignment horizontal="left" vertical="center" indent="1"/>
    </xf>
    <xf numFmtId="0" fontId="3" fillId="10" borderId="15" xfId="0" applyFont="1" applyFill="1" applyBorder="1" applyAlignment="1">
      <alignment horizontal="left" vertical="center" indent="1"/>
    </xf>
    <xf numFmtId="170" fontId="1" fillId="0" borderId="33" xfId="0" applyNumberFormat="1" applyFont="1" applyBorder="1" applyAlignment="1">
      <alignment horizontal="center"/>
    </xf>
    <xf numFmtId="170" fontId="1" fillId="0" borderId="34" xfId="0" applyNumberFormat="1" applyFont="1" applyBorder="1" applyAlignment="1">
      <alignment horizontal="center"/>
    </xf>
    <xf numFmtId="0" fontId="3" fillId="10" borderId="22" xfId="0" applyFont="1" applyFill="1" applyBorder="1" applyAlignment="1">
      <alignment horizontal="left" vertical="center" indent="1"/>
    </xf>
    <xf numFmtId="0" fontId="5" fillId="5" borderId="28" xfId="0" applyFont="1" applyFill="1" applyBorder="1" applyAlignment="1">
      <alignment horizontal="left" vertic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10" borderId="17" xfId="0" applyFont="1" applyFill="1" applyBorder="1" applyAlignment="1">
      <alignment horizontal="left" vertical="center" indent="1"/>
    </xf>
    <xf numFmtId="0" fontId="3" fillId="10" borderId="24" xfId="0" applyFont="1" applyFill="1" applyBorder="1" applyAlignment="1">
      <alignment horizontal="left" vertical="center" indent="1"/>
    </xf>
    <xf numFmtId="0" fontId="19" fillId="8" borderId="0" xfId="0" applyFont="1" applyFill="1" applyBorder="1" applyAlignment="1">
      <alignment horizontal="left" vertical="top" wrapText="1"/>
    </xf>
    <xf numFmtId="170" fontId="3" fillId="5" borderId="27" xfId="0" applyNumberFormat="1" applyFont="1" applyFill="1" applyBorder="1" applyAlignment="1">
      <alignment horizontal="center" vertical="center" wrapText="1"/>
    </xf>
    <xf numFmtId="170" fontId="3" fillId="5" borderId="26" xfId="0" applyNumberFormat="1" applyFont="1" applyFill="1" applyBorder="1" applyAlignment="1">
      <alignment horizontal="center" vertical="center" wrapText="1"/>
    </xf>
    <xf numFmtId="170" fontId="5" fillId="5" borderId="29" xfId="0" applyNumberFormat="1" applyFont="1" applyFill="1" applyBorder="1" applyAlignment="1">
      <alignment horizontal="center" vertical="center" wrapText="1"/>
    </xf>
    <xf numFmtId="170" fontId="5" fillId="5" borderId="30" xfId="0" applyNumberFormat="1" applyFont="1" applyFill="1" applyBorder="1" applyAlignment="1">
      <alignment horizontal="center" vertical="center" wrapText="1"/>
    </xf>
    <xf numFmtId="170" fontId="1" fillId="0" borderId="0" xfId="0" applyNumberFormat="1" applyFont="1" applyBorder="1" applyAlignment="1">
      <alignment horizontal="center"/>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89">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color auto="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98002C"/>
        <name val="Verdana"/>
        <scheme val="none"/>
      </font>
      <numFmt numFmtId="0" formatCode="General"/>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numFmt numFmtId="170" formatCode="&quot;€&quot;\ #,##0"/>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b/>
        <i val="0"/>
        <color rgb="FF98002C"/>
      </font>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3" formatCode="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 formatCode="0"/>
      <fill>
        <patternFill patternType="solid">
          <fgColor indexed="64"/>
          <bgColor rgb="FFD4EDFC"/>
        </patternFill>
      </fill>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67" formatCode="&quot;€&quot;#,##0.00_);\(&quot;€&quot;#,##0.0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theme="0"/>
        <name val="Verdana"/>
        <scheme val="none"/>
      </font>
      <fill>
        <patternFill patternType="solid">
          <fgColor indexed="64"/>
          <bgColor theme="0"/>
        </patternFill>
      </fill>
      <protection locked="0" hidden="0"/>
    </dxf>
    <dxf>
      <font>
        <strike val="0"/>
        <outline val="0"/>
        <shadow val="0"/>
        <u val="none"/>
        <vertAlign val="baseline"/>
        <sz val="8"/>
        <color theme="0"/>
        <name val="Verdana"/>
        <scheme val="none"/>
      </font>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left" vertical="center" textRotation="0" wrapText="1" relativeIndent="1"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rgb="FFE7F5FF"/>
        </patternFill>
      </fill>
      <protection locked="0" hidden="0"/>
    </dxf>
    <dxf>
      <font>
        <b val="0"/>
        <strike val="0"/>
        <outline val="0"/>
        <shadow val="0"/>
        <u val="none"/>
        <vertAlign val="baseline"/>
        <sz val="8"/>
        <color theme="0"/>
        <name val="Verdana"/>
        <scheme val="none"/>
      </font>
      <fill>
        <patternFill patternType="solid">
          <fgColor indexed="64"/>
          <bgColor rgb="FF005A9A"/>
        </patternFill>
      </fill>
      <alignment horizontal="general" vertical="center" textRotation="0" indent="0" justifyLastLine="0" shrinkToFit="0" readingOrder="0"/>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88"/>
      <tableStyleElement type="headerRow" dxfId="287"/>
      <tableStyleElement type="totalRow" dxfId="286"/>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taaloverzicht!A1"/><Relationship Id="rId3" Type="http://schemas.openxmlformats.org/officeDocument/2006/relationships/image" Target="../media/image4.png"/><Relationship Id="rId7" Type="http://schemas.openxmlformats.org/officeDocument/2006/relationships/hyperlink" Target="#'Machines en apparatuur'!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Vrijwilligersvergoeding!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Overige kosten vrijwilligers'!A1"/></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Vrijwilligersvergoeding!A1"/><Relationship Id="rId7" Type="http://schemas.openxmlformats.org/officeDocument/2006/relationships/image" Target="../media/image3.png"/><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hyperlink" Target="#Beginpagina!A1"/><Relationship Id="rId5" Type="http://schemas.openxmlformats.org/officeDocument/2006/relationships/hyperlink" Target="#Totaaloverzicht!A1"/><Relationship Id="rId4" Type="http://schemas.openxmlformats.org/officeDocument/2006/relationships/hyperlink" Target="#'Machines en apparatuur'!A1"/><Relationship Id="rId9" Type="http://schemas.openxmlformats.org/officeDocument/2006/relationships/hyperlink" Target="#'Overige kosten vrijwilligers'!A1"/></Relationships>
</file>

<file path=xl/drawings/_rels/drawing3.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Machines en apparatuur'!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Vrijwilligersvergoeding!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6.xml.rels><?xml version="1.0" encoding="UTF-8" standalone="yes"?>
<Relationships xmlns="http://schemas.openxmlformats.org/package/2006/relationships"><Relationship Id="rId8" Type="http://schemas.openxmlformats.org/officeDocument/2006/relationships/hyperlink" Target="#Vrijwilligersvergoeding!A1"/><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hyperlink" Target="#Vrijwilligersvergoeding!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_rels/drawing8.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image" Target="../media/image4.png"/><Relationship Id="rId7" Type="http://schemas.openxmlformats.org/officeDocument/2006/relationships/hyperlink" Target="#Vrijwilligersvergoeding!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chines en apparatuur'!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288290</xdr:colOff>
      <xdr:row>5</xdr:row>
      <xdr:rowOff>27254</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419929</xdr:colOff>
      <xdr:row>8</xdr:row>
      <xdr:rowOff>163322</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213194</xdr:colOff>
      <xdr:row>5</xdr:row>
      <xdr:rowOff>25015</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45</xdr:row>
      <xdr:rowOff>128445</xdr:rowOff>
    </xdr:from>
    <xdr:to>
      <xdr:col>3</xdr:col>
      <xdr:colOff>2994908</xdr:colOff>
      <xdr:row>64</xdr:row>
      <xdr:rowOff>140179</xdr:rowOff>
    </xdr:to>
    <xdr:sp macro="" textlink="">
      <xdr:nvSpPr>
        <xdr:cNvPr id="4" name="paal">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2957261</xdr:colOff>
      <xdr:row>48</xdr:row>
      <xdr:rowOff>33195</xdr:rowOff>
    </xdr:from>
    <xdr:to>
      <xdr:col>6</xdr:col>
      <xdr:colOff>247579</xdr:colOff>
      <xdr:row>49</xdr:row>
      <xdr:rowOff>116457</xdr:rowOff>
    </xdr:to>
    <xdr:sp macro="" textlink="">
      <xdr:nvSpPr>
        <xdr:cNvPr id="5" name="ga naar Personeelskosten" hidden="1">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195511" y="8396145"/>
          <a:ext cx="2405243" cy="2166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2953817</xdr:colOff>
      <xdr:row>48</xdr:row>
      <xdr:rowOff>37005</xdr:rowOff>
    </xdr:from>
    <xdr:to>
      <xdr:col>6</xdr:col>
      <xdr:colOff>244135</xdr:colOff>
      <xdr:row>49</xdr:row>
      <xdr:rowOff>122251</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230167" y="8390430"/>
          <a:ext cx="2119493" cy="21859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52</xdr:row>
      <xdr:rowOff>109395</xdr:rowOff>
    </xdr:from>
    <xdr:to>
      <xdr:col>6</xdr:col>
      <xdr:colOff>244135</xdr:colOff>
      <xdr:row>54</xdr:row>
      <xdr:rowOff>65529</xdr:rowOff>
    </xdr:to>
    <xdr:sp macro="" textlink="">
      <xdr:nvSpPr>
        <xdr:cNvPr id="36" name="ga naar Vrijwilligersvergoeding" hidden="1">
          <a:hlinkClick xmlns:r="http://schemas.openxmlformats.org/officeDocument/2006/relationships" r:id="rId6"/>
          <a:extLst>
            <a:ext uri="{FF2B5EF4-FFF2-40B4-BE49-F238E27FC236}">
              <a16:creationId xmlns:a16="http://schemas.microsoft.com/office/drawing/2014/main" id="{00000000-0008-0000-0000-000024000000}"/>
            </a:ext>
          </a:extLst>
        </xdr:cNvPr>
        <xdr:cNvSpPr/>
      </xdr:nvSpPr>
      <xdr:spPr>
        <a:xfrm>
          <a:off x="4192067" y="9005745"/>
          <a:ext cx="2405243" cy="2228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2953817</xdr:colOff>
      <xdr:row>57</xdr:row>
      <xdr:rowOff>52245</xdr:rowOff>
    </xdr:from>
    <xdr:to>
      <xdr:col>6</xdr:col>
      <xdr:colOff>244135</xdr:colOff>
      <xdr:row>58</xdr:row>
      <xdr:rowOff>129871</xdr:rowOff>
    </xdr:to>
    <xdr:sp macro="" textlink="">
      <xdr:nvSpPr>
        <xdr:cNvPr id="37" name="ga naar Machines en apparatuur" hidden="1">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4192067" y="9615345"/>
          <a:ext cx="24052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3</xdr:col>
      <xdr:colOff>2953817</xdr:colOff>
      <xdr:row>50</xdr:row>
      <xdr:rowOff>75105</xdr:rowOff>
    </xdr:from>
    <xdr:to>
      <xdr:col>6</xdr:col>
      <xdr:colOff>244135</xdr:colOff>
      <xdr:row>52</xdr:row>
      <xdr:rowOff>28271</xdr:rowOff>
    </xdr:to>
    <xdr:sp macro="" textlink="">
      <xdr:nvSpPr>
        <xdr:cNvPr id="19" name="ga naar Totaaloverzicht">
          <a:hlinkClick xmlns:r="http://schemas.openxmlformats.org/officeDocument/2006/relationships" r:id="rId8"/>
          <a:extLst>
            <a:ext uri="{FF2B5EF4-FFF2-40B4-BE49-F238E27FC236}">
              <a16:creationId xmlns:a16="http://schemas.microsoft.com/office/drawing/2014/main" id="{00000000-0008-0000-0000-000013000000}"/>
            </a:ext>
          </a:extLst>
        </xdr:cNvPr>
        <xdr:cNvSpPr/>
      </xdr:nvSpPr>
      <xdr:spPr>
        <a:xfrm>
          <a:off x="4230167" y="8695230"/>
          <a:ext cx="2119493" cy="2198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43</xdr:row>
      <xdr:rowOff>131788</xdr:rowOff>
    </xdr:from>
    <xdr:to>
      <xdr:col>5</xdr:col>
      <xdr:colOff>275373</xdr:colOff>
      <xdr:row>45</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2953817</xdr:colOff>
      <xdr:row>55</xdr:row>
      <xdr:rowOff>14145</xdr:rowOff>
    </xdr:from>
    <xdr:to>
      <xdr:col>6</xdr:col>
      <xdr:colOff>244135</xdr:colOff>
      <xdr:row>56</xdr:row>
      <xdr:rowOff>97279</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000-00000F000000}"/>
            </a:ext>
          </a:extLst>
        </xdr:cNvPr>
        <xdr:cNvSpPr/>
      </xdr:nvSpPr>
      <xdr:spPr>
        <a:xfrm>
          <a:off x="4192067" y="9310545"/>
          <a:ext cx="2405243" cy="2164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27977</xdr:colOff>
      <xdr:row>0</xdr:row>
      <xdr:rowOff>115956</xdr:rowOff>
    </xdr:from>
    <xdr:to>
      <xdr:col>15</xdr:col>
      <xdr:colOff>47625</xdr:colOff>
      <xdr:row>6</xdr:row>
      <xdr:rowOff>25820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7" y="115956"/>
          <a:ext cx="10097098" cy="85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17674</xdr:colOff>
      <xdr:row>40</xdr:row>
      <xdr:rowOff>128445</xdr:rowOff>
    </xdr:from>
    <xdr:to>
      <xdr:col>7</xdr:col>
      <xdr:colOff>178722</xdr:colOff>
      <xdr:row>59</xdr:row>
      <xdr:rowOff>222795</xdr:rowOff>
    </xdr:to>
    <xdr:sp macro="" textlink="">
      <xdr:nvSpPr>
        <xdr:cNvPr id="7" name="paal">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133010</xdr:colOff>
      <xdr:row>43</xdr:row>
      <xdr:rowOff>37005</xdr:rowOff>
    </xdr:from>
    <xdr:to>
      <xdr:col>11</xdr:col>
      <xdr:colOff>258949</xdr:colOff>
      <xdr:row>44</xdr:row>
      <xdr:rowOff>124791</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038260" y="8552355"/>
          <a:ext cx="2783414" cy="2211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7</xdr:col>
      <xdr:colOff>140630</xdr:colOff>
      <xdr:row>45</xdr:row>
      <xdr:rowOff>71295</xdr:rowOff>
    </xdr:from>
    <xdr:to>
      <xdr:col>11</xdr:col>
      <xdr:colOff>262759</xdr:colOff>
      <xdr:row>47</xdr:row>
      <xdr:rowOff>21061</xdr:rowOff>
    </xdr:to>
    <xdr:sp macro="" textlink="">
      <xdr:nvSpPr>
        <xdr:cNvPr id="22" name="ga naar Vrijwilligersvergoeding" hidden="1">
          <a:hlinkClick xmlns:r="http://schemas.openxmlformats.org/officeDocument/2006/relationships" r:id="rId3"/>
          <a:extLst>
            <a:ext uri="{FF2B5EF4-FFF2-40B4-BE49-F238E27FC236}">
              <a16:creationId xmlns:a16="http://schemas.microsoft.com/office/drawing/2014/main" id="{00000000-0008-0000-0100-000016000000}"/>
            </a:ext>
          </a:extLst>
        </xdr:cNvPr>
        <xdr:cNvSpPr/>
      </xdr:nvSpPr>
      <xdr:spPr>
        <a:xfrm>
          <a:off x="4255430" y="8843820"/>
          <a:ext cx="2703404" cy="2164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7</xdr:col>
      <xdr:colOff>140630</xdr:colOff>
      <xdr:row>50</xdr:row>
      <xdr:rowOff>14145</xdr:rowOff>
    </xdr:from>
    <xdr:to>
      <xdr:col>11</xdr:col>
      <xdr:colOff>262759</xdr:colOff>
      <xdr:row>51</xdr:row>
      <xdr:rowOff>98121</xdr:rowOff>
    </xdr:to>
    <xdr:sp macro="" textlink="">
      <xdr:nvSpPr>
        <xdr:cNvPr id="24" name="ga naar Machines en apparatuur" hidden="1">
          <a:hlinkClick xmlns:r="http://schemas.openxmlformats.org/officeDocument/2006/relationships" r:id="rId4"/>
          <a:extLst>
            <a:ext uri="{FF2B5EF4-FFF2-40B4-BE49-F238E27FC236}">
              <a16:creationId xmlns:a16="http://schemas.microsoft.com/office/drawing/2014/main" id="{00000000-0008-0000-0100-000018000000}"/>
            </a:ext>
          </a:extLst>
        </xdr:cNvPr>
        <xdr:cNvSpPr/>
      </xdr:nvSpPr>
      <xdr:spPr>
        <a:xfrm>
          <a:off x="4255430" y="9453420"/>
          <a:ext cx="2703404"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133010</xdr:colOff>
      <xdr:row>45</xdr:row>
      <xdr:rowOff>75105</xdr:rowOff>
    </xdr:from>
    <xdr:to>
      <xdr:col>11</xdr:col>
      <xdr:colOff>258949</xdr:colOff>
      <xdr:row>47</xdr:row>
      <xdr:rowOff>15571</xdr:rowOff>
    </xdr:to>
    <xdr:sp macro="" textlink="">
      <xdr:nvSpPr>
        <xdr:cNvPr id="25" name="ga naar Totaaloverzicht">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4038260" y="8857155"/>
          <a:ext cx="2783414" cy="2071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228962</xdr:colOff>
      <xdr:row>38</xdr:row>
      <xdr:rowOff>131788</xdr:rowOff>
    </xdr:from>
    <xdr:to>
      <xdr:col>12</xdr:col>
      <xdr:colOff>52862</xdr:colOff>
      <xdr:row>40</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162656</xdr:colOff>
      <xdr:row>43</xdr:row>
      <xdr:rowOff>37005</xdr:rowOff>
    </xdr:from>
    <xdr:to>
      <xdr:col>7</xdr:col>
      <xdr:colOff>55136</xdr:colOff>
      <xdr:row>44</xdr:row>
      <xdr:rowOff>129985</xdr:rowOff>
    </xdr:to>
    <xdr:sp macro="" textlink="">
      <xdr:nvSpPr>
        <xdr:cNvPr id="10" name="terug naar Beginpagina">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flipH="1">
          <a:off x="1953356" y="8552355"/>
          <a:ext cx="2007030" cy="22633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38</xdr:row>
      <xdr:rowOff>131788</xdr:rowOff>
    </xdr:from>
    <xdr:to>
      <xdr:col>6</xdr:col>
      <xdr:colOff>372871</xdr:colOff>
      <xdr:row>40</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228600</xdr:colOff>
      <xdr:row>6</xdr:row>
      <xdr:rowOff>114300</xdr:rowOff>
    </xdr:from>
    <xdr:to>
      <xdr:col>16</xdr:col>
      <xdr:colOff>181083</xdr:colOff>
      <xdr:row>10</xdr:row>
      <xdr:rowOff>10514</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72550" y="10096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9</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222113</xdr:colOff>
      <xdr:row>5</xdr:row>
      <xdr:rowOff>69713</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twoCellAnchor>
    <xdr:from>
      <xdr:col>7</xdr:col>
      <xdr:colOff>140630</xdr:colOff>
      <xdr:row>47</xdr:row>
      <xdr:rowOff>109395</xdr:rowOff>
    </xdr:from>
    <xdr:to>
      <xdr:col>11</xdr:col>
      <xdr:colOff>262759</xdr:colOff>
      <xdr:row>49</xdr:row>
      <xdr:rowOff>67482</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4255430" y="9148620"/>
          <a:ext cx="2703404" cy="2247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533400</xdr:colOff>
      <xdr:row>5</xdr:row>
      <xdr:rowOff>50299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53</xdr:row>
      <xdr:rowOff>128445</xdr:rowOff>
    </xdr:from>
    <xdr:to>
      <xdr:col>7</xdr:col>
      <xdr:colOff>178006</xdr:colOff>
      <xdr:row>72</xdr:row>
      <xdr:rowOff>140179</xdr:rowOff>
    </xdr:to>
    <xdr:sp macro="" textlink="">
      <xdr:nvSpPr>
        <xdr:cNvPr id="6" name="paal">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120747</xdr:colOff>
      <xdr:row>60</xdr:row>
      <xdr:rowOff>109395</xdr:rowOff>
    </xdr:from>
    <xdr:to>
      <xdr:col>10</xdr:col>
      <xdr:colOff>563772</xdr:colOff>
      <xdr:row>62</xdr:row>
      <xdr:rowOff>66371</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3978372" y="12787170"/>
          <a:ext cx="2490900" cy="2236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162657</xdr:colOff>
      <xdr:row>56</xdr:row>
      <xdr:rowOff>37005</xdr:rowOff>
    </xdr:from>
    <xdr:to>
      <xdr:col>10</xdr:col>
      <xdr:colOff>598062</xdr:colOff>
      <xdr:row>57</xdr:row>
      <xdr:rowOff>113361</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3972657" y="12219480"/>
          <a:ext cx="2416605" cy="20970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51</xdr:row>
      <xdr:rowOff>131788</xdr:rowOff>
    </xdr:from>
    <xdr:to>
      <xdr:col>9</xdr:col>
      <xdr:colOff>393623</xdr:colOff>
      <xdr:row>53</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663671</xdr:colOff>
      <xdr:row>56</xdr:row>
      <xdr:rowOff>37005</xdr:rowOff>
    </xdr:from>
    <xdr:to>
      <xdr:col>7</xdr:col>
      <xdr:colOff>95673</xdr:colOff>
      <xdr:row>57</xdr:row>
      <xdr:rowOff>129985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200-000009000000}"/>
            </a:ext>
          </a:extLst>
        </xdr:cNvPr>
        <xdr:cNvSpPr/>
      </xdr:nvSpPr>
      <xdr:spPr>
        <a:xfrm flipH="1">
          <a:off x="1749521" y="12219480"/>
          <a:ext cx="2156152" cy="22633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51</xdr:row>
      <xdr:rowOff>131788</xdr:rowOff>
    </xdr:from>
    <xdr:to>
      <xdr:col>6</xdr:col>
      <xdr:colOff>171940</xdr:colOff>
      <xdr:row>53</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672118</xdr:colOff>
      <xdr:row>58</xdr:row>
      <xdr:rowOff>71295</xdr:rowOff>
    </xdr:from>
    <xdr:to>
      <xdr:col>7</xdr:col>
      <xdr:colOff>97578</xdr:colOff>
      <xdr:row>60</xdr:row>
      <xdr:rowOff>16955</xdr:rowOff>
    </xdr:to>
    <xdr:sp macro="" textlink="">
      <xdr:nvSpPr>
        <xdr:cNvPr id="28" name="terug naar Personeelskosten" hidden="1">
          <a:hlinkClick xmlns:r="http://schemas.openxmlformats.org/officeDocument/2006/relationships" r:id="rId6"/>
          <a:extLst>
            <a:ext uri="{FF2B5EF4-FFF2-40B4-BE49-F238E27FC236}">
              <a16:creationId xmlns:a16="http://schemas.microsoft.com/office/drawing/2014/main" id="{00000000-0008-0000-0200-00001C000000}"/>
            </a:ext>
          </a:extLst>
        </xdr:cNvPr>
        <xdr:cNvSpPr/>
      </xdr:nvSpPr>
      <xdr:spPr>
        <a:xfrm flipH="1">
          <a:off x="1672243" y="12482370"/>
          <a:ext cx="2282960" cy="2123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44558</xdr:colOff>
      <xdr:row>9</xdr:row>
      <xdr:rowOff>45439</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58</xdr:row>
      <xdr:rowOff>71295</xdr:rowOff>
    </xdr:from>
    <xdr:to>
      <xdr:col>10</xdr:col>
      <xdr:colOff>585900</xdr:colOff>
      <xdr:row>60</xdr:row>
      <xdr:rowOff>16682</xdr:rowOff>
    </xdr:to>
    <xdr:sp macro="" textlink="">
      <xdr:nvSpPr>
        <xdr:cNvPr id="14" name="ga naar Overige kosten vrijwilligers" hidden="1">
          <a:hlinkClick xmlns:r="http://schemas.openxmlformats.org/officeDocument/2006/relationships" r:id="rId8"/>
          <a:extLst>
            <a:ext uri="{FF2B5EF4-FFF2-40B4-BE49-F238E27FC236}">
              <a16:creationId xmlns:a16="http://schemas.microsoft.com/office/drawing/2014/main" id="{00000000-0008-0000-0200-00000E000000}"/>
            </a:ext>
          </a:extLst>
        </xdr:cNvPr>
        <xdr:cNvSpPr/>
      </xdr:nvSpPr>
      <xdr:spPr>
        <a:xfrm>
          <a:off x="4000500" y="12482370"/>
          <a:ext cx="2490900" cy="2120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123825</xdr:colOff>
      <xdr:row>56</xdr:row>
      <xdr:rowOff>33195</xdr:rowOff>
    </xdr:from>
    <xdr:to>
      <xdr:col>10</xdr:col>
      <xdr:colOff>566850</xdr:colOff>
      <xdr:row>57</xdr:row>
      <xdr:rowOff>118282</xdr:rowOff>
    </xdr:to>
    <xdr:sp macro="" textlink="">
      <xdr:nvSpPr>
        <xdr:cNvPr id="15" name="ga naar Vrijwilligersvergoeding" hidden="1">
          <a:hlinkClick xmlns:r="http://schemas.openxmlformats.org/officeDocument/2006/relationships" r:id="rId9"/>
          <a:extLst>
            <a:ext uri="{FF2B5EF4-FFF2-40B4-BE49-F238E27FC236}">
              <a16:creationId xmlns:a16="http://schemas.microsoft.com/office/drawing/2014/main" id="{00000000-0008-0000-0200-00000F000000}"/>
            </a:ext>
          </a:extLst>
        </xdr:cNvPr>
        <xdr:cNvSpPr/>
      </xdr:nvSpPr>
      <xdr:spPr>
        <a:xfrm>
          <a:off x="3981450" y="12177570"/>
          <a:ext cx="2490900" cy="2184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64145</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420697" cy="71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17759</xdr:colOff>
      <xdr:row>40</xdr:row>
      <xdr:rowOff>128419</xdr:rowOff>
    </xdr:from>
    <xdr:to>
      <xdr:col>7</xdr:col>
      <xdr:colOff>178773</xdr:colOff>
      <xdr:row>59</xdr:row>
      <xdr:rowOff>140179</xdr:rowOff>
    </xdr:to>
    <xdr:sp macro="" textlink="">
      <xdr:nvSpPr>
        <xdr:cNvPr id="6" name="paal">
          <a:extLst>
            <a:ext uri="{FF2B5EF4-FFF2-40B4-BE49-F238E27FC236}">
              <a16:creationId xmlns:a16="http://schemas.microsoft.com/office/drawing/2014/main" id="{00000000-0008-0000-0400-000006000000}"/>
            </a:ext>
          </a:extLst>
        </xdr:cNvPr>
        <xdr:cNvSpPr/>
      </xdr:nvSpPr>
      <xdr:spPr>
        <a:xfrm>
          <a:off x="3779463" y="5293384"/>
          <a:ext cx="161014" cy="256070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140688</xdr:colOff>
      <xdr:row>45</xdr:row>
      <xdr:rowOff>71269</xdr:rowOff>
    </xdr:from>
    <xdr:to>
      <xdr:col>10</xdr:col>
      <xdr:colOff>244386</xdr:colOff>
      <xdr:row>47</xdr:row>
      <xdr:rowOff>20437</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998313" y="9005719"/>
          <a:ext cx="2361123" cy="21586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133068</xdr:colOff>
      <xdr:row>43</xdr:row>
      <xdr:rowOff>36979</xdr:rowOff>
    </xdr:from>
    <xdr:to>
      <xdr:col>10</xdr:col>
      <xdr:colOff>244386</xdr:colOff>
      <xdr:row>44</xdr:row>
      <xdr:rowOff>129656</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000218" y="8723779"/>
          <a:ext cx="2187768" cy="22602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229001</xdr:colOff>
      <xdr:row>38</xdr:row>
      <xdr:rowOff>131788</xdr:rowOff>
    </xdr:from>
    <xdr:to>
      <xdr:col>9</xdr:col>
      <xdr:colOff>393317</xdr:colOff>
      <xdr:row>40</xdr:row>
      <xdr:rowOff>93358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90705" y="5028443"/>
          <a:ext cx="1516598" cy="229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627475</xdr:colOff>
      <xdr:row>43</xdr:row>
      <xdr:rowOff>36979</xdr:rowOff>
    </xdr:from>
    <xdr:to>
      <xdr:col>7</xdr:col>
      <xdr:colOff>60632</xdr:colOff>
      <xdr:row>44</xdr:row>
      <xdr:rowOff>129665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713325" y="8723779"/>
          <a:ext cx="2214457" cy="2260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635095</xdr:colOff>
      <xdr:row>45</xdr:row>
      <xdr:rowOff>71269</xdr:rowOff>
    </xdr:from>
    <xdr:to>
      <xdr:col>7</xdr:col>
      <xdr:colOff>60632</xdr:colOff>
      <xdr:row>47</xdr:row>
      <xdr:rowOff>22081</xdr:rowOff>
    </xdr:to>
    <xdr:sp macro="" textlink="">
      <xdr:nvSpPr>
        <xdr:cNvPr id="10" name="terug naar Personeelskosten" hidden="1">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635220" y="9005719"/>
          <a:ext cx="2283037" cy="2175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627475</xdr:colOff>
      <xdr:row>45</xdr:row>
      <xdr:rowOff>75079</xdr:rowOff>
    </xdr:from>
    <xdr:to>
      <xdr:col>7</xdr:col>
      <xdr:colOff>60632</xdr:colOff>
      <xdr:row>47</xdr:row>
      <xdr:rowOff>34511</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713325" y="9028579"/>
          <a:ext cx="2214457" cy="2261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9449</xdr:colOff>
      <xdr:row>38</xdr:row>
      <xdr:rowOff>131788</xdr:rowOff>
    </xdr:from>
    <xdr:to>
      <xdr:col>6</xdr:col>
      <xdr:colOff>172909</xdr:colOff>
      <xdr:row>40</xdr:row>
      <xdr:rowOff>90796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2731" y="5028443"/>
          <a:ext cx="1515741" cy="2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409575</xdr:colOff>
      <xdr:row>5</xdr:row>
      <xdr:rowOff>85725</xdr:rowOff>
    </xdr:from>
    <xdr:to>
      <xdr:col>14</xdr:col>
      <xdr:colOff>200133</xdr:colOff>
      <xdr:row>9</xdr:row>
      <xdr:rowOff>39089</xdr:rowOff>
    </xdr:to>
    <xdr:pic>
      <xdr:nvPicPr>
        <xdr:cNvPr id="17" name="LogoOverijssel">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0090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43</xdr:row>
      <xdr:rowOff>33169</xdr:rowOff>
    </xdr:from>
    <xdr:to>
      <xdr:col>10</xdr:col>
      <xdr:colOff>256442</xdr:colOff>
      <xdr:row>44</xdr:row>
      <xdr:rowOff>118255</xdr:rowOff>
    </xdr:to>
    <xdr:sp macro="" textlink="">
      <xdr:nvSpPr>
        <xdr:cNvPr id="14" name="ga naar Overige kosten vrijwilligers" hidden="1">
          <a:hlinkClick xmlns:r="http://schemas.openxmlformats.org/officeDocument/2006/relationships" r:id="rId9"/>
          <a:extLst>
            <a:ext uri="{FF2B5EF4-FFF2-40B4-BE49-F238E27FC236}">
              <a16:creationId xmlns:a16="http://schemas.microsoft.com/office/drawing/2014/main" id="{00000000-0008-0000-0400-00000E000000}"/>
            </a:ext>
          </a:extLst>
        </xdr:cNvPr>
        <xdr:cNvSpPr/>
      </xdr:nvSpPr>
      <xdr:spPr>
        <a:xfrm>
          <a:off x="4000500" y="8700919"/>
          <a:ext cx="2370992" cy="2184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46314</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40</xdr:row>
      <xdr:rowOff>128474</xdr:rowOff>
    </xdr:from>
    <xdr:to>
      <xdr:col>7</xdr:col>
      <xdr:colOff>179265</xdr:colOff>
      <xdr:row>59</xdr:row>
      <xdr:rowOff>140179</xdr:rowOff>
    </xdr:to>
    <xdr:sp macro="" textlink="">
      <xdr:nvSpPr>
        <xdr:cNvPr id="6" name="paal">
          <a:extLst>
            <a:ext uri="{FF2B5EF4-FFF2-40B4-BE49-F238E27FC236}">
              <a16:creationId xmlns:a16="http://schemas.microsoft.com/office/drawing/2014/main" id="{00000000-0008-0000-05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141261</xdr:colOff>
      <xdr:row>43</xdr:row>
      <xdr:rowOff>33224</xdr:rowOff>
    </xdr:from>
    <xdr:to>
      <xdr:col>10</xdr:col>
      <xdr:colOff>244386</xdr:colOff>
      <xdr:row>44</xdr:row>
      <xdr:rowOff>117272</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a:xfrm>
          <a:off x="3998886" y="8462849"/>
          <a:ext cx="2151000" cy="2173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135546</xdr:colOff>
      <xdr:row>43</xdr:row>
      <xdr:rowOff>37034</xdr:rowOff>
    </xdr:from>
    <xdr:to>
      <xdr:col>10</xdr:col>
      <xdr:colOff>244386</xdr:colOff>
      <xdr:row>44</xdr:row>
      <xdr:rowOff>121082</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a:xfrm>
          <a:off x="3774096" y="8514284"/>
          <a:ext cx="2070990" cy="2173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38</xdr:row>
      <xdr:rowOff>131788</xdr:rowOff>
    </xdr:from>
    <xdr:to>
      <xdr:col>9</xdr:col>
      <xdr:colOff>393118</xdr:colOff>
      <xdr:row>40</xdr:row>
      <xdr:rowOff>93875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627468</xdr:colOff>
      <xdr:row>43</xdr:row>
      <xdr:rowOff>37034</xdr:rowOff>
    </xdr:from>
    <xdr:to>
      <xdr:col>7</xdr:col>
      <xdr:colOff>53755</xdr:colOff>
      <xdr:row>44</xdr:row>
      <xdr:rowOff>130368</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a:xfrm flipH="1">
          <a:off x="1656168" y="8514284"/>
          <a:ext cx="2036137" cy="2266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635088</xdr:colOff>
      <xdr:row>45</xdr:row>
      <xdr:rowOff>71324</xdr:rowOff>
    </xdr:from>
    <xdr:to>
      <xdr:col>7</xdr:col>
      <xdr:colOff>61375</xdr:colOff>
      <xdr:row>47</xdr:row>
      <xdr:rowOff>24241</xdr:rowOff>
    </xdr:to>
    <xdr:sp macro="" textlink="">
      <xdr:nvSpPr>
        <xdr:cNvPr id="10" name="terug naar Personeelskosten" hidden="1">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flipH="1">
          <a:off x="1635213" y="8767649"/>
          <a:ext cx="2283787" cy="2196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627468</xdr:colOff>
      <xdr:row>45</xdr:row>
      <xdr:rowOff>75134</xdr:rowOff>
    </xdr:from>
    <xdr:to>
      <xdr:col>7</xdr:col>
      <xdr:colOff>53755</xdr:colOff>
      <xdr:row>47</xdr:row>
      <xdr:rowOff>31527</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500-00000B000000}"/>
            </a:ext>
          </a:extLst>
        </xdr:cNvPr>
        <xdr:cNvSpPr/>
      </xdr:nvSpPr>
      <xdr:spPr>
        <a:xfrm flipH="1">
          <a:off x="1656168" y="8819084"/>
          <a:ext cx="2036137" cy="22309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38</xdr:row>
      <xdr:rowOff>131788</xdr:rowOff>
    </xdr:from>
    <xdr:to>
      <xdr:col>6</xdr:col>
      <xdr:colOff>173531</xdr:colOff>
      <xdr:row>40</xdr:row>
      <xdr:rowOff>91347</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636260</xdr:colOff>
      <xdr:row>50</xdr:row>
      <xdr:rowOff>14174</xdr:rowOff>
    </xdr:from>
    <xdr:to>
      <xdr:col>7</xdr:col>
      <xdr:colOff>61375</xdr:colOff>
      <xdr:row>51</xdr:row>
      <xdr:rowOff>95018</xdr:rowOff>
    </xdr:to>
    <xdr:sp macro="" textlink="">
      <xdr:nvSpPr>
        <xdr:cNvPr id="26" name="terug naar Vrijwilligersvergoeding" hidden="1">
          <a:hlinkClick xmlns:r="http://schemas.openxmlformats.org/officeDocument/2006/relationships" r:id="rId8"/>
          <a:extLst>
            <a:ext uri="{FF2B5EF4-FFF2-40B4-BE49-F238E27FC236}">
              <a16:creationId xmlns:a16="http://schemas.microsoft.com/office/drawing/2014/main" id="{00000000-0008-0000-0500-00001A000000}"/>
            </a:ext>
          </a:extLst>
        </xdr:cNvPr>
        <xdr:cNvSpPr/>
      </xdr:nvSpPr>
      <xdr:spPr>
        <a:xfrm flipH="1">
          <a:off x="1636385" y="9377249"/>
          <a:ext cx="2282615" cy="21419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editAs="oneCell">
    <xdr:from>
      <xdr:col>11</xdr:col>
      <xdr:colOff>266700</xdr:colOff>
      <xdr:row>5</xdr:row>
      <xdr:rowOff>104775</xdr:rowOff>
    </xdr:from>
    <xdr:to>
      <xdr:col>14</xdr:col>
      <xdr:colOff>200133</xdr:colOff>
      <xdr:row>9</xdr:row>
      <xdr:rowOff>58139</xdr:rowOff>
    </xdr:to>
    <xdr:pic>
      <xdr:nvPicPr>
        <xdr:cNvPr id="18" name="LogoOverijssel">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615950</xdr:colOff>
      <xdr:row>5</xdr:row>
      <xdr:rowOff>64754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45</xdr:row>
      <xdr:rowOff>128437</xdr:rowOff>
    </xdr:from>
    <xdr:to>
      <xdr:col>7</xdr:col>
      <xdr:colOff>179046</xdr:colOff>
      <xdr:row>64</xdr:row>
      <xdr:rowOff>140179</xdr:rowOff>
    </xdr:to>
    <xdr:sp macro="" textlink="">
      <xdr:nvSpPr>
        <xdr:cNvPr id="6" name="paal">
          <a:extLst>
            <a:ext uri="{FF2B5EF4-FFF2-40B4-BE49-F238E27FC236}">
              <a16:creationId xmlns:a16="http://schemas.microsoft.com/office/drawing/2014/main" id="{00000000-0008-0000-06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135291</xdr:colOff>
      <xdr:row>48</xdr:row>
      <xdr:rowOff>36997</xdr:rowOff>
    </xdr:from>
    <xdr:to>
      <xdr:col>10</xdr:col>
      <xdr:colOff>244386</xdr:colOff>
      <xdr:row>49</xdr:row>
      <xdr:rowOff>124939</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600-000018000000}"/>
            </a:ext>
          </a:extLst>
        </xdr:cNvPr>
        <xdr:cNvSpPr/>
      </xdr:nvSpPr>
      <xdr:spPr>
        <a:xfrm>
          <a:off x="3954816" y="9304822"/>
          <a:ext cx="2052195" cy="22129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43</xdr:row>
      <xdr:rowOff>131788</xdr:rowOff>
    </xdr:from>
    <xdr:to>
      <xdr:col>9</xdr:col>
      <xdr:colOff>393206</xdr:colOff>
      <xdr:row>45</xdr:row>
      <xdr:rowOff>93521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635091</xdr:colOff>
      <xdr:row>50</xdr:row>
      <xdr:rowOff>71287</xdr:rowOff>
    </xdr:from>
    <xdr:to>
      <xdr:col>7</xdr:col>
      <xdr:colOff>61045</xdr:colOff>
      <xdr:row>52</xdr:row>
      <xdr:rowOff>21796</xdr:rowOff>
    </xdr:to>
    <xdr:sp macro="" textlink="">
      <xdr:nvSpPr>
        <xdr:cNvPr id="10" name="terug naar Personeelskosten" hidden="1">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635216" y="9643912"/>
          <a:ext cx="2283454" cy="21720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627471</xdr:colOff>
      <xdr:row>50</xdr:row>
      <xdr:rowOff>75097</xdr:rowOff>
    </xdr:from>
    <xdr:to>
      <xdr:col>7</xdr:col>
      <xdr:colOff>53425</xdr:colOff>
      <xdr:row>52</xdr:row>
      <xdr:rowOff>36144</xdr:rowOff>
    </xdr:to>
    <xdr:sp macro="" textlink="">
      <xdr:nvSpPr>
        <xdr:cNvPr id="11" name="terug naar (Loon)kosten derd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675221" y="9609622"/>
          <a:ext cx="2197729" cy="22774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43</xdr:row>
      <xdr:rowOff>131788</xdr:rowOff>
    </xdr:from>
    <xdr:to>
      <xdr:col>6</xdr:col>
      <xdr:colOff>173255</xdr:colOff>
      <xdr:row>45</xdr:row>
      <xdr:rowOff>90969</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349358</xdr:colOff>
      <xdr:row>9</xdr:row>
      <xdr:rowOff>39089</xdr:rowOff>
    </xdr:to>
    <xdr:pic>
      <xdr:nvPicPr>
        <xdr:cNvPr id="18" name="LogoOverijssel">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636733</xdr:colOff>
      <xdr:row>55</xdr:row>
      <xdr:rowOff>14137</xdr:rowOff>
    </xdr:from>
    <xdr:to>
      <xdr:col>7</xdr:col>
      <xdr:colOff>62687</xdr:colOff>
      <xdr:row>56</xdr:row>
      <xdr:rowOff>102184</xdr:rowOff>
    </xdr:to>
    <xdr:sp macro="" textlink="">
      <xdr:nvSpPr>
        <xdr:cNvPr id="15" name="terug naar Vrijwilligersvergoeding" hidden="1">
          <a:hlinkClick xmlns:r="http://schemas.openxmlformats.org/officeDocument/2006/relationships" r:id="rId7"/>
          <a:extLst>
            <a:ext uri="{FF2B5EF4-FFF2-40B4-BE49-F238E27FC236}">
              <a16:creationId xmlns:a16="http://schemas.microsoft.com/office/drawing/2014/main" id="{00000000-0008-0000-0600-00000F000000}"/>
            </a:ext>
          </a:extLst>
        </xdr:cNvPr>
        <xdr:cNvSpPr/>
      </xdr:nvSpPr>
      <xdr:spPr>
        <a:xfrm flipH="1">
          <a:off x="1636858" y="10253512"/>
          <a:ext cx="2283454" cy="2213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638047</xdr:colOff>
      <xdr:row>57</xdr:row>
      <xdr:rowOff>52237</xdr:rowOff>
    </xdr:from>
    <xdr:to>
      <xdr:col>7</xdr:col>
      <xdr:colOff>64001</xdr:colOff>
      <xdr:row>59</xdr:row>
      <xdr:rowOff>585</xdr:rowOff>
    </xdr:to>
    <xdr:sp macro="" textlink="">
      <xdr:nvSpPr>
        <xdr:cNvPr id="17" name="terug naar Overige kosten vrijwilligers" hidden="1">
          <a:hlinkClick xmlns:r="http://schemas.openxmlformats.org/officeDocument/2006/relationships" r:id="rId8"/>
          <a:extLst>
            <a:ext uri="{FF2B5EF4-FFF2-40B4-BE49-F238E27FC236}">
              <a16:creationId xmlns:a16="http://schemas.microsoft.com/office/drawing/2014/main" id="{00000000-0008-0000-0600-000011000000}"/>
            </a:ext>
          </a:extLst>
        </xdr:cNvPr>
        <xdr:cNvSpPr/>
      </xdr:nvSpPr>
      <xdr:spPr>
        <a:xfrm flipH="1">
          <a:off x="1638172" y="10558312"/>
          <a:ext cx="2283454" cy="2150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3</xdr:col>
      <xdr:colOff>627471</xdr:colOff>
      <xdr:row>48</xdr:row>
      <xdr:rowOff>36997</xdr:rowOff>
    </xdr:from>
    <xdr:to>
      <xdr:col>7</xdr:col>
      <xdr:colOff>53425</xdr:colOff>
      <xdr:row>49</xdr:row>
      <xdr:rowOff>129886</xdr:rowOff>
    </xdr:to>
    <xdr:sp macro="" textlink="">
      <xdr:nvSpPr>
        <xdr:cNvPr id="9" name="terug naar Beginpagina">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flipH="1">
          <a:off x="1675221" y="9304822"/>
          <a:ext cx="2197729" cy="22623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381000</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48454</xdr:colOff>
      <xdr:row>9</xdr:row>
      <xdr:rowOff>28067</xdr:rowOff>
    </xdr:to>
    <xdr:pic>
      <xdr:nvPicPr>
        <xdr:cNvPr id="4" name="LogoOverijss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83791</xdr:colOff>
      <xdr:row>3</xdr:row>
      <xdr:rowOff>93732</xdr:rowOff>
    </xdr:from>
    <xdr:to>
      <xdr:col>2</xdr:col>
      <xdr:colOff>220179</xdr:colOff>
      <xdr:row>5</xdr:row>
      <xdr:rowOff>58670</xdr:rowOff>
    </xdr:to>
    <xdr:pic>
      <xdr:nvPicPr>
        <xdr:cNvPr id="5" name="Picture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4766" y="465207"/>
          <a:ext cx="317363" cy="307838"/>
        </a:xfrm>
        <a:prstGeom prst="rect">
          <a:avLst/>
        </a:prstGeom>
      </xdr:spPr>
    </xdr:pic>
    <xdr:clientData/>
  </xdr:twoCellAnchor>
  <xdr:twoCellAnchor>
    <xdr:from>
      <xdr:col>3</xdr:col>
      <xdr:colOff>2821180</xdr:colOff>
      <xdr:row>69</xdr:row>
      <xdr:rowOff>128475</xdr:rowOff>
    </xdr:from>
    <xdr:to>
      <xdr:col>3</xdr:col>
      <xdr:colOff>2994907</xdr:colOff>
      <xdr:row>88</xdr:row>
      <xdr:rowOff>140179</xdr:rowOff>
    </xdr:to>
    <xdr:sp macro="" textlink="">
      <xdr:nvSpPr>
        <xdr:cNvPr id="7" name="paal">
          <a:extLst>
            <a:ext uri="{FF2B5EF4-FFF2-40B4-BE49-F238E27FC236}">
              <a16:creationId xmlns:a16="http://schemas.microsoft.com/office/drawing/2014/main" id="{00000000-0008-0000-07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626301</xdr:colOff>
      <xdr:row>74</xdr:row>
      <xdr:rowOff>71325</xdr:rowOff>
    </xdr:from>
    <xdr:to>
      <xdr:col>3</xdr:col>
      <xdr:colOff>2924589</xdr:colOff>
      <xdr:row>76</xdr:row>
      <xdr:rowOff>23414</xdr:rowOff>
    </xdr:to>
    <xdr:sp macro="" textlink="">
      <xdr:nvSpPr>
        <xdr:cNvPr id="11" name="terug naar Personeelskosten" hidden="1">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flipH="1">
          <a:off x="1864551" y="12615750"/>
          <a:ext cx="2298288" cy="2187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607251</xdr:colOff>
      <xdr:row>74</xdr:row>
      <xdr:rowOff>75135</xdr:rowOff>
    </xdr:from>
    <xdr:to>
      <xdr:col>3</xdr:col>
      <xdr:colOff>2911254</xdr:colOff>
      <xdr:row>76</xdr:row>
      <xdr:rowOff>21369</xdr:rowOff>
    </xdr:to>
    <xdr:sp macro="" textlink="">
      <xdr:nvSpPr>
        <xdr:cNvPr id="12" name="terug naar (Loon)kosten derden">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flipH="1">
          <a:off x="1731201" y="12619560"/>
          <a:ext cx="2304003" cy="2129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67</xdr:row>
      <xdr:rowOff>131788</xdr:rowOff>
    </xdr:from>
    <xdr:to>
      <xdr:col>3</xdr:col>
      <xdr:colOff>2259053</xdr:colOff>
      <xdr:row>69</xdr:row>
      <xdr:rowOff>91347</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626301</xdr:colOff>
      <xdr:row>83</xdr:row>
      <xdr:rowOff>90376</xdr:rowOff>
    </xdr:from>
    <xdr:to>
      <xdr:col>3</xdr:col>
      <xdr:colOff>2924589</xdr:colOff>
      <xdr:row>85</xdr:row>
      <xdr:rowOff>43835</xdr:rowOff>
    </xdr:to>
    <xdr:sp macro="" textlink="">
      <xdr:nvSpPr>
        <xdr:cNvPr id="26" name="terug naar Machines en apparatuur" hidden="1">
          <a:hlinkClick xmlns:r="http://schemas.openxmlformats.org/officeDocument/2006/relationships" r:id="rId6"/>
          <a:extLst>
            <a:ext uri="{FF2B5EF4-FFF2-40B4-BE49-F238E27FC236}">
              <a16:creationId xmlns:a16="http://schemas.microsoft.com/office/drawing/2014/main" id="{00000000-0008-0000-0700-00001A000000}"/>
            </a:ext>
          </a:extLst>
        </xdr:cNvPr>
        <xdr:cNvSpPr/>
      </xdr:nvSpPr>
      <xdr:spPr>
        <a:xfrm flipH="1">
          <a:off x="1864551" y="13834951"/>
          <a:ext cx="2298288" cy="22015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5</xdr:col>
      <xdr:colOff>400050</xdr:colOff>
      <xdr:row>23</xdr:row>
      <xdr:rowOff>66676</xdr:rowOff>
    </xdr:from>
    <xdr:to>
      <xdr:col>8</xdr:col>
      <xdr:colOff>77932</xdr:colOff>
      <xdr:row>33</xdr:row>
      <xdr:rowOff>113110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400800" y="4305301"/>
          <a:ext cx="1070913" cy="135612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12201</xdr:colOff>
      <xdr:row>32</xdr:row>
      <xdr:rowOff>27106</xdr:rowOff>
    </xdr:from>
    <xdr:to>
      <xdr:col>7</xdr:col>
      <xdr:colOff>445339</xdr:colOff>
      <xdr:row>33</xdr:row>
      <xdr:rowOff>21591</xdr:rowOff>
    </xdr:to>
    <xdr:grpSp>
      <xdr:nvGrpSpPr>
        <xdr:cNvPr id="9" name="Group 8">
          <a:extLst>
            <a:ext uri="{FF2B5EF4-FFF2-40B4-BE49-F238E27FC236}">
              <a16:creationId xmlns:a16="http://schemas.microsoft.com/office/drawing/2014/main" id="{00000000-0008-0000-0700-000009000000}"/>
            </a:ext>
          </a:extLst>
        </xdr:cNvPr>
        <xdr:cNvGrpSpPr/>
      </xdr:nvGrpSpPr>
      <xdr:grpSpPr>
        <a:xfrm>
          <a:off x="6102486" y="5806876"/>
          <a:ext cx="949393" cy="183080"/>
          <a:chOff x="6493427" y="5361359"/>
          <a:chExt cx="899255" cy="128240"/>
        </a:xfrm>
        <a:solidFill>
          <a:srgbClr val="D4EDFC"/>
        </a:solidFill>
      </xdr:grpSpPr>
      <xdr:sp macro="" textlink="">
        <xdr:nvSpPr>
          <xdr:cNvPr id="21" name="Rechthoek 20">
            <a:extLst>
              <a:ext uri="{FF2B5EF4-FFF2-40B4-BE49-F238E27FC236}">
                <a16:creationId xmlns:a16="http://schemas.microsoft.com/office/drawing/2014/main" id="{00000000-0008-0000-0700-000015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Rechthoek 21">
            <a:extLst>
              <a:ext uri="{FF2B5EF4-FFF2-40B4-BE49-F238E27FC236}">
                <a16:creationId xmlns:a16="http://schemas.microsoft.com/office/drawing/2014/main" id="{00000000-0008-0000-0700-000016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Rechthoek 22">
            <a:extLst>
              <a:ext uri="{FF2B5EF4-FFF2-40B4-BE49-F238E27FC236}">
                <a16:creationId xmlns:a16="http://schemas.microsoft.com/office/drawing/2014/main" id="{00000000-0008-0000-0700-000017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Rechthoek 23">
            <a:extLst>
              <a:ext uri="{FF2B5EF4-FFF2-40B4-BE49-F238E27FC236}">
                <a16:creationId xmlns:a16="http://schemas.microsoft.com/office/drawing/2014/main" id="{00000000-0008-0000-0700-000018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581025</xdr:colOff>
      <xdr:row>79</xdr:row>
      <xdr:rowOff>14176</xdr:rowOff>
    </xdr:from>
    <xdr:to>
      <xdr:col>3</xdr:col>
      <xdr:colOff>2863640</xdr:colOff>
      <xdr:row>80</xdr:row>
      <xdr:rowOff>101370</xdr:rowOff>
    </xdr:to>
    <xdr:sp macro="" textlink="">
      <xdr:nvSpPr>
        <xdr:cNvPr id="36" name="terug naar Vrijwilligersvergoeding" hidden="1">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flipH="1">
          <a:off x="1819275" y="13225351"/>
          <a:ext cx="2282615" cy="2205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619125</xdr:colOff>
      <xdr:row>81</xdr:row>
      <xdr:rowOff>52276</xdr:rowOff>
    </xdr:from>
    <xdr:to>
      <xdr:col>3</xdr:col>
      <xdr:colOff>2901740</xdr:colOff>
      <xdr:row>82</xdr:row>
      <xdr:rowOff>126770</xdr:rowOff>
    </xdr:to>
    <xdr:sp macro="" textlink="">
      <xdr:nvSpPr>
        <xdr:cNvPr id="37" name="terug naar Overige kosten vrijwilligers" hidden="1">
          <a:hlinkClick xmlns:r="http://schemas.openxmlformats.org/officeDocument/2006/relationships" r:id="rId8"/>
          <a:extLst>
            <a:ext uri="{FF2B5EF4-FFF2-40B4-BE49-F238E27FC236}">
              <a16:creationId xmlns:a16="http://schemas.microsoft.com/office/drawing/2014/main" id="{00000000-0008-0000-0700-000025000000}"/>
            </a:ext>
          </a:extLst>
        </xdr:cNvPr>
        <xdr:cNvSpPr/>
      </xdr:nvSpPr>
      <xdr:spPr>
        <a:xfrm flipH="1">
          <a:off x="1857375" y="13530151"/>
          <a:ext cx="2282615" cy="2078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6</xdr:col>
      <xdr:colOff>12201</xdr:colOff>
      <xdr:row>30</xdr:row>
      <xdr:rowOff>167599</xdr:rowOff>
    </xdr:from>
    <xdr:to>
      <xdr:col>7</xdr:col>
      <xdr:colOff>445339</xdr:colOff>
      <xdr:row>31</xdr:row>
      <xdr:rowOff>162084</xdr:rowOff>
    </xdr:to>
    <xdr:grpSp>
      <xdr:nvGrpSpPr>
        <xdr:cNvPr id="32" name="Group 8">
          <a:extLst>
            <a:ext uri="{FF2B5EF4-FFF2-40B4-BE49-F238E27FC236}">
              <a16:creationId xmlns:a16="http://schemas.microsoft.com/office/drawing/2014/main" id="{00000000-0008-0000-0700-000020000000}"/>
            </a:ext>
          </a:extLst>
        </xdr:cNvPr>
        <xdr:cNvGrpSpPr/>
      </xdr:nvGrpSpPr>
      <xdr:grpSpPr>
        <a:xfrm>
          <a:off x="6102486" y="5572084"/>
          <a:ext cx="949393" cy="183080"/>
          <a:chOff x="6493427" y="5361359"/>
          <a:chExt cx="899255" cy="128240"/>
        </a:xfrm>
        <a:solidFill>
          <a:srgbClr val="D4EDFC"/>
        </a:solidFill>
      </xdr:grpSpPr>
      <xdr:sp macro="" textlink="">
        <xdr:nvSpPr>
          <xdr:cNvPr id="33" name="Rechthoek 32">
            <a:extLst>
              <a:ext uri="{FF2B5EF4-FFF2-40B4-BE49-F238E27FC236}">
                <a16:creationId xmlns:a16="http://schemas.microsoft.com/office/drawing/2014/main" id="{00000000-0008-0000-0700-000021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Rechthoek 33">
            <a:extLst>
              <a:ext uri="{FF2B5EF4-FFF2-40B4-BE49-F238E27FC236}">
                <a16:creationId xmlns:a16="http://schemas.microsoft.com/office/drawing/2014/main" id="{00000000-0008-0000-0700-000022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Rechthoek 34">
            <a:extLst>
              <a:ext uri="{FF2B5EF4-FFF2-40B4-BE49-F238E27FC236}">
                <a16:creationId xmlns:a16="http://schemas.microsoft.com/office/drawing/2014/main" id="{00000000-0008-0000-0700-000023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8" name="Rechthoek 37">
            <a:extLst>
              <a:ext uri="{FF2B5EF4-FFF2-40B4-BE49-F238E27FC236}">
                <a16:creationId xmlns:a16="http://schemas.microsoft.com/office/drawing/2014/main" id="{00000000-0008-0000-0700-000026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6</xdr:col>
      <xdr:colOff>12201</xdr:colOff>
      <xdr:row>29</xdr:row>
      <xdr:rowOff>65638</xdr:rowOff>
    </xdr:from>
    <xdr:to>
      <xdr:col>7</xdr:col>
      <xdr:colOff>445339</xdr:colOff>
      <xdr:row>30</xdr:row>
      <xdr:rowOff>119654</xdr:rowOff>
    </xdr:to>
    <xdr:grpSp>
      <xdr:nvGrpSpPr>
        <xdr:cNvPr id="39" name="Group 8">
          <a:extLst>
            <a:ext uri="{FF2B5EF4-FFF2-40B4-BE49-F238E27FC236}">
              <a16:creationId xmlns:a16="http://schemas.microsoft.com/office/drawing/2014/main" id="{00000000-0008-0000-0700-000027000000}"/>
            </a:ext>
          </a:extLst>
        </xdr:cNvPr>
        <xdr:cNvGrpSpPr/>
      </xdr:nvGrpSpPr>
      <xdr:grpSpPr>
        <a:xfrm>
          <a:off x="6102486" y="5331058"/>
          <a:ext cx="949393" cy="191176"/>
          <a:chOff x="6493427" y="5361359"/>
          <a:chExt cx="899255" cy="128240"/>
        </a:xfrm>
        <a:solidFill>
          <a:srgbClr val="D4EDFC"/>
        </a:solidFill>
      </xdr:grpSpPr>
      <xdr:sp macro="" textlink="">
        <xdr:nvSpPr>
          <xdr:cNvPr id="40" name="Rechthoek 39">
            <a:extLst>
              <a:ext uri="{FF2B5EF4-FFF2-40B4-BE49-F238E27FC236}">
                <a16:creationId xmlns:a16="http://schemas.microsoft.com/office/drawing/2014/main" id="{00000000-0008-0000-0700-000028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1" name="Rechthoek 40">
            <a:extLst>
              <a:ext uri="{FF2B5EF4-FFF2-40B4-BE49-F238E27FC236}">
                <a16:creationId xmlns:a16="http://schemas.microsoft.com/office/drawing/2014/main" id="{00000000-0008-0000-0700-000029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2" name="Rechthoek 41">
            <a:extLst>
              <a:ext uri="{FF2B5EF4-FFF2-40B4-BE49-F238E27FC236}">
                <a16:creationId xmlns:a16="http://schemas.microsoft.com/office/drawing/2014/main" id="{00000000-0008-0000-0700-00002A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3" name="Rechthoek 42">
            <a:extLst>
              <a:ext uri="{FF2B5EF4-FFF2-40B4-BE49-F238E27FC236}">
                <a16:creationId xmlns:a16="http://schemas.microsoft.com/office/drawing/2014/main" id="{00000000-0008-0000-0700-00002B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569151</xdr:colOff>
      <xdr:row>72</xdr:row>
      <xdr:rowOff>37035</xdr:rowOff>
    </xdr:from>
    <xdr:to>
      <xdr:col>3</xdr:col>
      <xdr:colOff>2873154</xdr:colOff>
      <xdr:row>73</xdr:row>
      <xdr:rowOff>130368</xdr:rowOff>
    </xdr:to>
    <xdr:sp macro="" textlink="">
      <xdr:nvSpPr>
        <xdr:cNvPr id="10" name="terug naar Beginpagina">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flipH="1">
          <a:off x="1693101" y="12314760"/>
          <a:ext cx="2304003" cy="22668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ctiviteiten" displayName="Activiteiten" ref="A21:J26" headerRowDxfId="285" dataDxfId="284">
  <tableColumns count="10">
    <tableColumn id="9" xr3:uid="{00000000-0010-0000-0000-000009000000}" name="Kolom4" dataDxfId="283" totalsRowDxfId="282"/>
    <tableColumn id="10" xr3:uid="{00000000-0010-0000-0000-00000A000000}" name="Kolom5" dataDxfId="281" totalsRowDxfId="280"/>
    <tableColumn id="1" xr3:uid="{00000000-0010-0000-0000-000001000000}" name="Activiteit Nr." totalsRowLabel="Totaal" dataDxfId="279"/>
    <tableColumn id="2" xr3:uid="{00000000-0010-0000-0000-000002000000}" name="Activiteit" dataDxfId="278"/>
    <tableColumn id="4" xr3:uid="{00000000-0010-0000-0000-000004000000}" name="Subsidie %" dataDxfId="277" dataCellStyle="Procent"/>
    <tableColumn id="5" xr3:uid="{00000000-0010-0000-0000-000005000000}" name="Min. Bedrag" dataDxfId="276"/>
    <tableColumn id="6" xr3:uid="{00000000-0010-0000-0000-000006000000}" name="Max. Bedrag" totalsRowFunction="count" dataDxfId="275"/>
    <tableColumn id="3" xr3:uid="{00000000-0010-0000-0000-000003000000}" name="Kolom1" dataDxfId="274">
      <calculatedColumnFormula>Activiteiten[[#This Row],[Activiteit Nr.]]</calculatedColumnFormula>
    </tableColumn>
    <tableColumn id="7" xr3:uid="{00000000-0010-0000-0000-000007000000}" name="Kolom2" dataDxfId="273"/>
    <tableColumn id="8" xr3:uid="{00000000-0010-0000-0000-000008000000}" name="Kolom3" dataDxfId="272" totalsRowDxfId="27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Personeelskosten" displayName="tblPersoneelskosten" ref="A15:Q20" totalsRowShown="0" headerRowDxfId="261" dataDxfId="260" totalsRowDxfId="259">
  <tableColumns count="17">
    <tableColumn id="3" xr3:uid="{00000000-0010-0000-0100-000003000000}" name="Kolom2" dataDxfId="258" totalsRowDxfId="257"/>
    <tableColumn id="6" xr3:uid="{00000000-0010-0000-0100-000006000000}" name="Kolom3" dataDxfId="256" totalsRowDxfId="255"/>
    <tableColumn id="1" xr3:uid="{00000000-0010-0000-0100-000001000000}" name="Activiteit (klik op de cel en vul deze altijd in)" dataDxfId="254" totalsRowDxfId="253"/>
    <tableColumn id="2" xr3:uid="{00000000-0010-0000-0100-000002000000}" name="Loonkostensoort (klik op de cel voor info)" dataDxfId="252" totalsRowDxfId="251"/>
    <tableColumn id="12" xr3:uid="{00000000-0010-0000-0100-00000C000000}" name="Functie betrokkene" dataDxfId="250" totalsRowDxfId="249"/>
    <tableColumn id="13" xr3:uid="{00000000-0010-0000-0100-00000D000000}" name="Brutoloon per jaar" dataDxfId="248" totalsRowDxfId="247" dataCellStyle="Valuta"/>
    <tableColumn id="7" xr3:uid="{00000000-0010-0000-0100-000007000000}" name=" " totalsRowDxfId="246" dataCellStyle="Procent"/>
    <tableColumn id="4" xr3:uid="{00000000-0010-0000-0100-000004000000}" name="  " totalsRowDxfId="245" dataCellStyle="Procent"/>
    <tableColumn id="8" xr3:uid="{00000000-0010-0000-0100-000008000000}" name="Berekend uurtarief var. kosten + opslag" dataDxfId="244" totalsRowDxfId="243" dataCellStyle="Komma">
      <calculatedColumnFormula>IF(F16="","",(F16/1836)*1.5)</calculatedColumnFormula>
    </tableColumn>
    <tableColumn id="5" xr3:uid="{00000000-0010-0000-0100-000005000000}" name="Uurtarief variabele kosten (klik op de cel voor info)" dataDxfId="242" totalsRowDxfId="241">
      <calculatedColumnFormula>IF(I16="","",IFERROR(IF(tblPersoneelskosten[[#This Row],[Loonkostensoort (klik op de cel voor info)]] = "Var. Loonk. + Opslag",IF(tblPersoneelskosten[[#This Row],[Berekend uurtarief var. kosten + opslag]]&gt;130,130,tblPersoneelskosten[[#This Row],[Berekend uurtarief var. kosten + opslag]]),""),""))</calculatedColumnFormula>
    </tableColumn>
    <tableColumn id="22" xr3:uid="{00000000-0010-0000-0100-000016000000}" name="Uurtarief IKT" totalsRowDxfId="240"/>
    <tableColumn id="21" xr3:uid="{00000000-0010-0000-0100-000015000000}" name="Uurtarief vaste loon- kosten" totalsRowDxfId="239">
      <calculatedColumnFormula>IF(tblPersoneelskosten[[#This Row],[Loonkostensoort (klik op de cel voor info)]]="Vaste loonkosten",35,"")</calculatedColumnFormula>
    </tableColumn>
    <tableColumn id="18" xr3:uid="{00000000-0010-0000-0100-000012000000}" name="Uren" dataDxfId="238" totalsRowDxfId="237"/>
    <tableColumn id="15" xr3:uid="{00000000-0010-0000-0100-00000F000000}" name="Totale loon- kosten" dataDxfId="236" totalsRowDxfId="235">
      <calculatedColumnFormula>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calculatedColumnFormula>
    </tableColumn>
    <tableColumn id="10" xr3:uid="{00000000-0010-0000-0100-00000A000000}" name="Subsidie %" dataDxfId="234" totalsRowDxfId="233" dataCellStyle="Procent">
      <calculatedColumnFormula>_xlfn.IFNA(VLOOKUP(tblPersoneelskosten[[#This Row],[Activiteit (klik op de cel en vul deze altijd in)]],Activiteiten[[Activiteit Nr.]:[Subsidie %]],3,0),"")</calculatedColumnFormula>
    </tableColumn>
    <tableColumn id="11" xr3:uid="{00000000-0010-0000-0100-00000B000000}" name="Subsidie aanvraag" dataDxfId="232" totalsRowDxfId="231">
      <calculatedColumnFormula>IFERROR((tblPersoneelskosten[[#This Row],[Totale loon- kosten]])*tblPersoneelskosten[[#This Row],[Subsidie %]], "")</calculatedColumnFormula>
    </tableColumn>
    <tableColumn id="23" xr3:uid="{00000000-0010-0000-0100-000017000000}" name="Kolom1" dataDxfId="230" totalsRowDxfId="22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LoonkostenDerden" displayName="tblLoonkostenDerden" ref="A15:O20" totalsRowShown="0" headerRowDxfId="220" dataDxfId="219" totalsRowDxfId="218">
  <tableColumns count="15">
    <tableColumn id="8" xr3:uid="{00000000-0010-0000-0200-000008000000}" name="Kolom3" dataDxfId="217" totalsRowDxfId="216"/>
    <tableColumn id="9" xr3:uid="{00000000-0010-0000-0200-000009000000}" name="Kolom4" dataDxfId="215" totalsRowDxfId="214"/>
    <tableColumn id="1" xr3:uid="{00000000-0010-0000-0200-000001000000}" name="Activiteit (klik op de cel voor info en vul deze altijd in)" dataDxfId="213" totalsRowDxfId="212"/>
    <tableColumn id="2" xr3:uid="{00000000-0010-0000-0200-000002000000}" name="Naam Bedrijf" dataDxfId="211" totalsRowDxfId="210"/>
    <tableColumn id="3" xr3:uid="{00000000-0010-0000-0200-000003000000}" name="Functie" dataDxfId="209" totalsRowDxfId="208">
      <calculatedColumnFormula>IF(tblLoonkostenDerden[[#This Row],[Naam Bedrijf]] = "Vaste Loonkosten",35,IF(tblLoonkostenDerden[[#This Row],[Naam Bedrijf]] = "Var. Loonk. + Opslag",45,IF(tblLoonkostenDerden[[#This Row],[Naam Bedrijf]] = "IKT Tarief","")))</calculatedColumnFormula>
    </tableColumn>
    <tableColumn id="4" xr3:uid="{00000000-0010-0000-0200-000004000000}" name="Uren" dataDxfId="207" totalsRowDxfId="206"/>
    <tableColumn id="5" xr3:uid="{00000000-0010-0000-0200-000005000000}" name="Uurtarief ex. btw" dataDxfId="205" totalsRowDxfId="204"/>
    <tableColumn id="17" xr3:uid="{00000000-0010-0000-0200-000011000000}" name="Btw %" dataDxfId="203" totalsRowDxfId="202"/>
    <tableColumn id="15" xr3:uid="{00000000-0010-0000-0200-00000F000000}" name="Kosten totaal" dataDxfId="201">
      <calculatedColumnFormula>IF(tblLoonkostenDerden[[#This Row],[Uurtarief ex. btw]]*(1+tblLoonkostenDerden[[#This Row],[Btw %]])=0,"",tblLoonkostenDerden[[#This Row],[Uurtarief ex. btw]]*(1+tblLoonkostenDerden[[#This Row],[Btw %]])*tblLoonkostenDerden[[#This Row],[Uren]])</calculatedColumnFormula>
    </tableColumn>
    <tableColumn id="10" xr3:uid="{00000000-0010-0000-0200-00000A000000}" name="Subsidie %" dataDxfId="200" totalsRowDxfId="199" dataCellStyle="Procent">
      <calculatedColumnFormula>IFERROR(VLOOKUP(tblLoonkostenDerden[[#This Row],[Activiteit (klik op de cel voor info en vul deze altijd in)]],Activiteiten[[Activiteit Nr.]:[Subsidie %]],3,0),"")</calculatedColumnFormula>
    </tableColumn>
    <tableColumn id="11" xr3:uid="{00000000-0010-0000-0200-00000B000000}" name="Subsidie aanvraag" dataDxfId="198">
      <calculatedColumnFormula>IFERROR(IF(tblLoonkostenDerden[[#This Row],[Uurtarief ex. btw]]&gt;130,tblLoonkostenDerden[[#This Row],[Uren]]*130*(1+tblLoonkostenDerden[[#This Row],[Btw %]])*tblLoonkostenDerden[[#This Row],[Subsidie %]],tblLoonkostenDerden[[#This Row],[Kosten totaal]]*tblLoonkostenDerden[[#This Row],[Subsidie %]]), "")</calculatedColumnFormula>
    </tableColumn>
    <tableColumn id="6" xr3:uid="{00000000-0010-0000-0200-000006000000}" name="Kolom1" dataDxfId="197"/>
    <tableColumn id="7" xr3:uid="{00000000-0010-0000-0200-000007000000}" name="Kolom2" dataDxfId="196" totalsRowDxfId="195"/>
    <tableColumn id="12" xr3:uid="{00000000-0010-0000-0200-00000C000000}" name="Kolom22" dataDxfId="194" totalsRowDxfId="193"/>
    <tableColumn id="13" xr3:uid="{00000000-0010-0000-0200-00000D000000}" name="Kolom23" dataDxfId="192" totalsRowDxfId="19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OverigeKostenDerden" displayName="tblOverigeKostenDerden" ref="A28:O33" totalsRowShown="0" headerRowDxfId="190" dataDxfId="189" totalsRowDxfId="188">
  <tableColumns count="15">
    <tableColumn id="8" xr3:uid="{00000000-0010-0000-0300-000008000000}" name="Kolom3" dataDxfId="187" totalsRowDxfId="186"/>
    <tableColumn id="9" xr3:uid="{00000000-0010-0000-0300-000009000000}" name="Kolom4" dataDxfId="185" totalsRowDxfId="184"/>
    <tableColumn id="1" xr3:uid="{00000000-0010-0000-0300-000001000000}" name="Activiteit (klik op de cel voor info en vul deze altijd in)" dataDxfId="183" totalsRowDxfId="182"/>
    <tableColumn id="2" xr3:uid="{00000000-0010-0000-0300-000002000000}" name="Naam bedrijf of leverancier" dataDxfId="181" totalsRowDxfId="180"/>
    <tableColumn id="3" xr3:uid="{00000000-0010-0000-0300-000003000000}" name="Product / dienst" dataDxfId="179" totalsRowDxfId="178"/>
    <tableColumn id="4" xr3:uid="{00000000-0010-0000-0300-000004000000}" name="Aantal" dataDxfId="177" totalsRowDxfId="176"/>
    <tableColumn id="5" xr3:uid="{00000000-0010-0000-0300-000005000000}" name="Kosten per product / dienst" dataDxfId="175" totalsRowDxfId="174"/>
    <tableColumn id="17" xr3:uid="{00000000-0010-0000-0300-000011000000}" name="Btw %" dataDxfId="173" totalsRowDxfId="172"/>
    <tableColumn id="15" xr3:uid="{00000000-0010-0000-0300-00000F000000}" name="Kosten totaal" dataDxfId="171" totalsRowDxfId="170">
      <calculatedColumnFormula>IFERROR(IF(tblOverigeKostenDerden[[#This Row],[Aantal]]*tblOverigeKostenDerden[[#This Row],[Kosten per product / dienst]]*(1+tblOverigeKostenDerden[[#This Row],[Btw %]])=0,"",tblOverigeKostenDerden[[#This Row],[Aantal]]*tblOverigeKostenDerden[[#This Row],[Kosten per product / dienst]]*(1+tblOverigeKostenDerden[[#This Row],[Btw %]])),"")</calculatedColumnFormula>
    </tableColumn>
    <tableColumn id="10" xr3:uid="{00000000-0010-0000-0300-00000A000000}" name="Subsidie %" dataDxfId="169" totalsRowDxfId="168" dataCellStyle="Procent">
      <calculatedColumnFormula>IFERROR(VLOOKUP(tblOverigeKostenDerden[[#This Row],[Activiteit (klik op de cel voor info en vul deze altijd in)]],Activiteiten[[Activiteit Nr.]:[Subsidie %]],3,0),"")</calculatedColumnFormula>
    </tableColumn>
    <tableColumn id="11" xr3:uid="{00000000-0010-0000-0300-00000B000000}" name="Subsidie aanvraag" dataDxfId="167" totalsRowDxfId="166">
      <calculatedColumnFormula>IFERROR(((tblOverigeKostenDerden[[#This Row],[Kosten totaal]])*tblOverigeKostenDerden[[#This Row],[Subsidie %]]), "")</calculatedColumnFormula>
    </tableColumn>
    <tableColumn id="6" xr3:uid="{00000000-0010-0000-0300-000006000000}" name="Kolom1" dataDxfId="165" totalsRowDxfId="164"/>
    <tableColumn id="7" xr3:uid="{00000000-0010-0000-0300-000007000000}" name="Kolom2" dataDxfId="163" totalsRowDxfId="162"/>
    <tableColumn id="12" xr3:uid="{00000000-0010-0000-0300-00000C000000}" name="Kolom22" dataDxfId="161" totalsRowDxfId="160"/>
    <tableColumn id="13" xr3:uid="{00000000-0010-0000-0300-00000D000000}" name="Kolom23" dataDxfId="159" totalsRow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oonkosten7678" displayName="Loonkosten7678" ref="A15:O20" totalsRowShown="0" headerRowDxfId="148" dataDxfId="147" totalsRowDxfId="146">
  <tableColumns count="15">
    <tableColumn id="8" xr3:uid="{00000000-0010-0000-0400-000008000000}" name="Kolom3" dataDxfId="145" totalsRowDxfId="144"/>
    <tableColumn id="9" xr3:uid="{00000000-0010-0000-0400-000009000000}" name="Kolom4" dataDxfId="143" totalsRowDxfId="142"/>
    <tableColumn id="1" xr3:uid="{00000000-0010-0000-0400-000001000000}" name="Activiteit" dataDxfId="141" totalsRowDxfId="140"/>
    <tableColumn id="2" xr3:uid="{00000000-0010-0000-0400-000002000000}" name="Naam bedrijf of leverancier" dataDxfId="139" totalsRowDxfId="138"/>
    <tableColumn id="3" xr3:uid="{00000000-0010-0000-0400-000003000000}" name="Product / dienst" dataDxfId="137" totalsRowDxfId="136"/>
    <tableColumn id="4" xr3:uid="{00000000-0010-0000-0400-000004000000}" name="Aantal" dataDxfId="135" totalsRowDxfId="134"/>
    <tableColumn id="5" xr3:uid="{00000000-0010-0000-0400-000005000000}" name="Kosten per product / dienst" dataDxfId="133" totalsRowDxfId="132"/>
    <tableColumn id="17" xr3:uid="{00000000-0010-0000-0400-000011000000}" name="Btw %" dataDxfId="131" totalsRowDxfId="130"/>
    <tableColumn id="15" xr3:uid="{00000000-0010-0000-0400-00000F000000}" name="Kosten inc. btw" dataDxfId="129" totalsRowDxfId="128">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400-00000A000000}" name="Subsidie %" dataDxfId="127" totalsRowDxfId="126" dataCellStyle="Procent">
      <calculatedColumnFormula>IFERROR(VLOOKUP(Loonkosten7678[[#This Row],[Activiteit]],Activiteiten[[Activiteit Nr.]:[Subsidie %]],3,0),"")</calculatedColumnFormula>
    </tableColumn>
    <tableColumn id="11" xr3:uid="{00000000-0010-0000-0400-00000B000000}" name="Subsidie" dataDxfId="125" totalsRowDxfId="124">
      <calculatedColumnFormula>IFERROR(((Loonkosten7678[[#This Row],[Kosten inc. btw]])*Loonkosten7678[[#This Row],[Subsidie %]]), "")</calculatedColumnFormula>
    </tableColumn>
    <tableColumn id="6" xr3:uid="{00000000-0010-0000-0400-000006000000}" name="Kolom1" dataDxfId="123" totalsRowDxfId="122"/>
    <tableColumn id="7" xr3:uid="{00000000-0010-0000-0400-000007000000}" name="Kolom2" dataDxfId="121" totalsRowDxfId="120"/>
    <tableColumn id="12" xr3:uid="{00000000-0010-0000-0400-00000C000000}" name="Kolom22" dataDxfId="119" totalsRowDxfId="118"/>
    <tableColumn id="13" xr3:uid="{00000000-0010-0000-0400-00000D000000}" name="Kolom23" dataDxfId="117" totalsRowDxfId="1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Vrijwilligersvergoeding" displayName="tblVrijwilligersvergoeding" ref="A15:O20" totalsRowShown="0" headerRowDxfId="108" dataDxfId="107" totalsRowDxfId="106">
  <tableColumns count="15">
    <tableColumn id="8" xr3:uid="{00000000-0010-0000-0500-000008000000}" name="Kolom4" dataDxfId="105" totalsRowDxfId="104"/>
    <tableColumn id="9" xr3:uid="{00000000-0010-0000-0500-000009000000}" name="Kolom5" dataDxfId="103" totalsRowDxfId="102"/>
    <tableColumn id="1" xr3:uid="{00000000-0010-0000-0500-000001000000}" name="Activiteit (klik op de cel voor info en vul deze altijd in)" dataDxfId="101" totalsRowDxfId="100"/>
    <tableColumn id="2" xr3:uid="{00000000-0010-0000-0500-000002000000}" name="Functie vrijwilliger" dataDxfId="99" totalsRowDxfId="98"/>
    <tableColumn id="3" xr3:uid="{00000000-0010-0000-0500-000003000000}" name="Uren" dataDxfId="97" totalsRowDxfId="96"/>
    <tableColumn id="4" xr3:uid="{00000000-0010-0000-0500-000004000000}" name="Bijdrage ex. btw" dataDxfId="95" totalsRowDxfId="94"/>
    <tableColumn id="17" xr3:uid="{00000000-0010-0000-0500-000011000000}" name="Btw %" dataDxfId="93" totalsRowDxfId="92"/>
    <tableColumn id="15" xr3:uid="{00000000-0010-0000-0500-00000F000000}" name="Kosten totaal" dataDxfId="91" totalsRowDxfId="90">
      <calculatedColumnFormula>IF(tblVrijwilligersvergoeding[[#This Row],[Uren]]*(1+tblVrijwilligersvergoeding[[#This Row],[Btw %]])=0,"",(tblVrijwilligersvergoeding[[#This Row],[Uren]]*(1+tblVrijwilligersvergoeding[[#This Row],[Btw %]])*tblVrijwilligersvergoeding[[#This Row],[Bijdrage ex. btw]]))</calculatedColumnFormula>
    </tableColumn>
    <tableColumn id="10" xr3:uid="{00000000-0010-0000-0500-00000A000000}" name="Subsidie %" dataDxfId="89" totalsRowDxfId="88">
      <calculatedColumnFormula>IFERROR(VLOOKUP(tblVrijwilligersvergoeding[[#This Row],[Activiteit (klik op de cel voor info en vul deze altijd in)]],Activiteiten[[Activiteit Nr.]:[Subsidie %]],3,0),"")</calculatedColumnFormula>
    </tableColumn>
    <tableColumn id="11" xr3:uid="{00000000-0010-0000-0500-00000B000000}" name="Subsidie aanvraag" dataDxfId="87">
      <calculatedColumnFormula>IFERROR((IF(tblVrijwilligersvergoeding[[#This Row],[Bijdrage ex. btw]]*(1+tblVrijwilligersvergoeding[[#This Row],[Btw %]])*tblVrijwilligersvergoeding[[#This Row],[Subsidie %]]&gt;15,tblVrijwilligersvergoeding[[#This Row],[Uren]]*15,(tblVrijwilligersvergoeding[[#This Row],[Kosten totaal]])*tblVrijwilligersvergoeding[[#This Row],[Subsidie %]])), "")</calculatedColumnFormula>
    </tableColumn>
    <tableColumn id="5" xr3:uid="{00000000-0010-0000-0500-000005000000}" name="Kolom1" dataDxfId="86">
      <calculatedColumnFormula>IFERROR(IF(tblVrijwilligersvergoeding[[#This Row],[Bijdrage ex. btw]]*(1+tblVrijwilligersvergoeding[[#This Row],[Btw %]])*tblVrijwilligersvergoeding[[#This Row],[Subsidie %]]&gt;15,"Let op: voor vrijwilligersvergoeding wordt maximaal €15,- per uur gesubsidieerd.",""),"")</calculatedColumnFormula>
    </tableColumn>
    <tableColumn id="6" xr3:uid="{00000000-0010-0000-0500-000006000000}" name="Kolom2" dataDxfId="85" totalsRowDxfId="84"/>
    <tableColumn id="7" xr3:uid="{00000000-0010-0000-0500-000007000000}" name="Kolom3" dataDxfId="83" totalsRowDxfId="82"/>
    <tableColumn id="12" xr3:uid="{00000000-0010-0000-0500-00000C000000}" name="Kolom32" dataDxfId="81" totalsRowDxfId="80"/>
    <tableColumn id="13" xr3:uid="{00000000-0010-0000-0500-00000D000000}" name="Kolom33" dataDxfId="79" totalsRowDxfId="7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OverigeKostenVrijwilligers" displayName="tblOverigeKostenVrijwilligers" ref="A15:O20" totalsRowShown="0" headerRowDxfId="71" dataDxfId="70" totalsRowDxfId="69">
  <tableColumns count="15">
    <tableColumn id="8" xr3:uid="{00000000-0010-0000-0600-000008000000}" name="Kolom3" dataDxfId="68" totalsRowDxfId="67"/>
    <tableColumn id="9" xr3:uid="{00000000-0010-0000-0600-000009000000}" name="Kolom4" dataDxfId="66" totalsRowDxfId="65"/>
    <tableColumn id="1" xr3:uid="{00000000-0010-0000-0600-000001000000}" name="Activiteit (klik op de cel voor info en vul deze altijd in)" dataDxfId="64" totalsRowDxfId="63"/>
    <tableColumn id="2" xr3:uid="{00000000-0010-0000-0600-000002000000}" name="Naam bedrijf of leverancier" dataDxfId="62" totalsRowDxfId="61"/>
    <tableColumn id="3" xr3:uid="{00000000-0010-0000-0600-000003000000}" name="Product / dienst" dataDxfId="60" totalsRowDxfId="59"/>
    <tableColumn id="4" xr3:uid="{00000000-0010-0000-0600-000004000000}" name="Aantal" dataDxfId="58" totalsRowDxfId="57"/>
    <tableColumn id="5" xr3:uid="{00000000-0010-0000-0600-000005000000}" name="Kosten per product / dienst" dataDxfId="56">
      <calculatedColumnFormula>IF(tblOverigeKostenVrijwilligers[[#This Row],[Product / dienst]]*tblOverigeKostenVrijwilligers[[#This Row],[Aantal]]=0,"",tblOverigeKostenVrijwilligers[[#This Row],[Product / dienst]]*tblOverigeKostenVrijwilligers[[#This Row],[Aantal]])</calculatedColumnFormula>
    </tableColumn>
    <tableColumn id="17" xr3:uid="{00000000-0010-0000-0600-000011000000}" name="Btw %" dataDxfId="55" totalsRowDxfId="54"/>
    <tableColumn id="15" xr3:uid="{00000000-0010-0000-0600-00000F000000}" name="Kosten totaal" dataDxfId="53" totalsRowDxfId="52">
      <calculatedColumnFormula>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calculatedColumnFormula>
    </tableColumn>
    <tableColumn id="10" xr3:uid="{00000000-0010-0000-0600-00000A000000}" name="Subsidie %" dataDxfId="51" totalsRowDxfId="50" dataCellStyle="Procent">
      <calculatedColumnFormula>IFERROR(VLOOKUP(tblOverigeKostenVrijwilligers[[#This Row],[Activiteit (klik op de cel voor info en vul deze altijd in)]],Activiteiten[[Activiteit Nr.]:[Subsidie %]],3,0),"")</calculatedColumnFormula>
    </tableColumn>
    <tableColumn id="11" xr3:uid="{00000000-0010-0000-0600-00000B000000}" name="Subsidie aanvraag" dataDxfId="49" totalsRowDxfId="48">
      <calculatedColumnFormula>IFERROR(((tblOverigeKostenVrijwilligers[[#This Row],[Kosten totaal]])*tblOverigeKostenVrijwilligers[[#This Row],[Subsidie %]]), "")</calculatedColumnFormula>
    </tableColumn>
    <tableColumn id="6" xr3:uid="{00000000-0010-0000-0600-000006000000}" name="Kolom1" dataDxfId="47" totalsRowDxfId="46"/>
    <tableColumn id="7" xr3:uid="{00000000-0010-0000-0600-000007000000}" name="Kolom2" dataDxfId="45" totalsRowDxfId="44"/>
    <tableColumn id="12" xr3:uid="{00000000-0010-0000-0600-00000C000000}" name="Kolom22" dataDxfId="43" totalsRowDxfId="42"/>
    <tableColumn id="13" xr3:uid="{00000000-0010-0000-0600-00000D000000}" name="Kolom23" dataDxfId="41" totalsRowDxfId="4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MachinesApparatuur" displayName="tblMachinesApparatuur" ref="A20:O25" totalsRowShown="0" headerRowDxfId="33" dataDxfId="32" totalsRowDxfId="31">
  <tableColumns count="15">
    <tableColumn id="8" xr3:uid="{00000000-0010-0000-0700-000008000000}" name="Kolom2" dataDxfId="30" totalsRowDxfId="29"/>
    <tableColumn id="9" xr3:uid="{00000000-0010-0000-0700-000009000000}" name="Kolom3" dataDxfId="28" totalsRowDxfId="27"/>
    <tableColumn id="1" xr3:uid="{00000000-0010-0000-0700-000001000000}" name="Activiteit (klik op de cel voor info en vul deze altijd in)" dataDxfId="26" totalsRowDxfId="25"/>
    <tableColumn id="2" xr3:uid="{00000000-0010-0000-0700-000002000000}" name="Apparaat of machine" dataDxfId="24" totalsRowDxfId="23"/>
    <tableColumn id="3" xr3:uid="{00000000-0010-0000-0700-000003000000}" name="Datum aanschaf" dataDxfId="22" totalsRowDxfId="21"/>
    <tableColumn id="4" xr3:uid="{00000000-0010-0000-0700-000004000000}" name="Aanschaf-waarde" dataDxfId="20" totalsRowDxfId="19"/>
    <tableColumn id="5" xr3:uid="{00000000-0010-0000-0700-000005000000}" name="Afschrijvingstermijn (jr)" dataDxfId="18"/>
    <tableColumn id="6" xr3:uid="{00000000-0010-0000-0700-000006000000}" name="Restwaarde" dataDxfId="17" totalsRowDxfId="16"/>
    <tableColumn id="17" xr3:uid="{00000000-0010-0000-0700-000011000000}" name="Afschr. per jaar" dataDxfId="15" totalsRowDxfId="14">
      <calculatedColumnFormula>IFERROR((tblMachinesApparatuur[[#This Row],[Aanschaf-waarde]]-tblMachinesApparatuur[[#This Row],[Restwaarde]])/tblMachinesApparatuur[[#This Row],[Afschrijvingstermijn (jr)]],"")</calculatedColumnFormula>
    </tableColumn>
    <tableColumn id="16" xr3:uid="{00000000-0010-0000-0700-000010000000}" name="Gebruik voor activiteit (mnd)" dataDxfId="13" totalsRowDxfId="12"/>
    <tableColumn id="15" xr3:uid="{00000000-0010-0000-0700-00000F000000}" name="Gebruik t.o.v. totaal (%)" dataDxfId="11" totalsRowDxfId="10" dataCellStyle="Procent"/>
    <tableColumn id="10" xr3:uid="{00000000-0010-0000-0700-00000A000000}" name="Kosten totaal" dataDxfId="9" totalsRowDxfId="8">
      <calculatedColumnFormula>IFERROR((tblMachinesApparatuur[[#This Row],[Afschr. per jaar]]/100)*tblMachinesApparatuur[[#This Row],[Gebruik voor activiteit (mnd)]]*tblMachinesApparatuur[[#This Row],[Gebruik t.o.v. totaal (%)]],"")</calculatedColumnFormula>
    </tableColumn>
    <tableColumn id="7" xr3:uid="{00000000-0010-0000-0700-000007000000}" name="Subsidie %" dataDxfId="7" totalsRowDxfId="6" dataCellStyle="Procent">
      <calculatedColumnFormula>IFERROR(VLOOKUP(tblMachinesApparatuur[[#This Row],[Activiteit (klik op de cel voor info en vul deze altijd in)]],Activiteiten[[Activiteit Nr.]:[Subsidie %]],3,0),"")</calculatedColumnFormula>
    </tableColumn>
    <tableColumn id="11" xr3:uid="{00000000-0010-0000-0700-00000B000000}" name="Subsidie aanvraag" dataDxfId="5" totalsRowDxfId="4">
      <calculatedColumnFormula>IFERROR(((tblMachinesApparatuur[[#This Row],[Kosten totaal]])*tblMachinesApparatuur[[#This Row],[Subsidie %]]), "")</calculatedColumnFormula>
    </tableColumn>
    <tableColumn id="12" xr3:uid="{00000000-0010-0000-0700-00000C000000}" name="Kolom13" dataDxfId="3" totalsRowDxfId="2"/>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66"/>
  <sheetViews>
    <sheetView showGridLines="0" tabSelected="1" zoomScaleNormal="100" workbookViewId="0">
      <selection activeCell="I39" sqref="I39"/>
    </sheetView>
  </sheetViews>
  <sheetFormatPr defaultColWidth="0" defaultRowHeight="10.199999999999999" zeroHeight="1" x14ac:dyDescent="0.2"/>
  <cols>
    <col min="1" max="2" width="2.875" style="3" customWidth="1"/>
    <col min="3" max="3" width="15.25" style="3" customWidth="1"/>
    <col min="4" max="4" width="57.125" style="3" customWidth="1"/>
    <col min="5" max="5" width="13" style="3" customWidth="1"/>
    <col min="6" max="7" width="9" style="3" customWidth="1"/>
    <col min="8" max="9" width="8" style="3" customWidth="1"/>
    <col min="10" max="10" width="5.75" style="3" customWidth="1"/>
    <col min="11" max="14" width="15.75" style="3" hidden="1" customWidth="1"/>
    <col min="15" max="16384" width="9.1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399999999999999" x14ac:dyDescent="0.3">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115</v>
      </c>
      <c r="E7" s="2"/>
      <c r="F7" s="2"/>
      <c r="G7" s="2"/>
    </row>
    <row r="8" spans="1:14" x14ac:dyDescent="0.2">
      <c r="C8" s="2"/>
      <c r="D8" s="2"/>
      <c r="E8" s="2"/>
      <c r="F8" s="2"/>
      <c r="G8" s="2"/>
    </row>
    <row r="9" spans="1:14" ht="16.2" x14ac:dyDescent="0.3">
      <c r="C9" s="31" t="s">
        <v>28</v>
      </c>
      <c r="D9" s="2"/>
      <c r="E9" s="2"/>
      <c r="F9" s="2"/>
      <c r="G9" s="2"/>
    </row>
    <row r="10" spans="1:14" x14ac:dyDescent="0.2">
      <c r="C10" s="2"/>
      <c r="D10" s="2"/>
      <c r="E10" s="2"/>
      <c r="F10" s="2"/>
      <c r="G10" s="2"/>
    </row>
    <row r="11" spans="1:14" s="13" customFormat="1" ht="12.6" x14ac:dyDescent="0.2">
      <c r="C11" s="27" t="s">
        <v>4</v>
      </c>
      <c r="D11" s="15"/>
      <c r="E11" s="15"/>
      <c r="F11" s="15"/>
      <c r="G11" s="15"/>
    </row>
    <row r="12" spans="1:14" ht="8.25" customHeight="1" thickBot="1" x14ac:dyDescent="0.25">
      <c r="C12" s="7"/>
      <c r="D12" s="7"/>
      <c r="E12" s="7"/>
      <c r="F12" s="7"/>
      <c r="G12" s="19"/>
    </row>
    <row r="13" spans="1:14" ht="12" thickBot="1" x14ac:dyDescent="0.25">
      <c r="C13" s="235" t="s">
        <v>2</v>
      </c>
      <c r="D13" s="235"/>
      <c r="E13" s="232"/>
      <c r="F13" s="233"/>
      <c r="G13" s="233"/>
      <c r="H13" s="233"/>
      <c r="I13" s="234"/>
    </row>
    <row r="14" spans="1:14" ht="8.25" customHeight="1" thickBot="1" x14ac:dyDescent="0.25">
      <c r="C14" s="6"/>
      <c r="D14" s="6"/>
      <c r="E14" s="6"/>
      <c r="F14" s="6"/>
      <c r="G14" s="18"/>
    </row>
    <row r="15" spans="1:14" ht="12" thickBot="1" x14ac:dyDescent="0.25">
      <c r="C15" s="231" t="s">
        <v>3</v>
      </c>
      <c r="D15" s="231"/>
      <c r="E15" s="232"/>
      <c r="F15" s="233"/>
      <c r="G15" s="233"/>
      <c r="H15" s="233"/>
      <c r="I15" s="234"/>
    </row>
    <row r="16" spans="1:14" ht="8.25" customHeight="1" thickBot="1" x14ac:dyDescent="0.25">
      <c r="C16"/>
      <c r="D16"/>
      <c r="E16"/>
      <c r="F16"/>
      <c r="G16"/>
      <c r="H16"/>
      <c r="I16"/>
    </row>
    <row r="17" spans="1:10" ht="12" thickBot="1" x14ac:dyDescent="0.25">
      <c r="C17" s="231" t="s">
        <v>53</v>
      </c>
      <c r="D17" s="231"/>
      <c r="E17" s="237"/>
      <c r="F17" s="238"/>
      <c r="G17" s="238"/>
      <c r="H17" s="238"/>
      <c r="I17" s="239"/>
    </row>
    <row r="18" spans="1:10" ht="22.5" customHeight="1" x14ac:dyDescent="0.2">
      <c r="C18" s="18"/>
      <c r="D18" s="18"/>
      <c r="E18"/>
      <c r="F18"/>
      <c r="G18"/>
      <c r="H18"/>
      <c r="I18"/>
    </row>
    <row r="19" spans="1:10" s="13" customFormat="1" ht="12.6" x14ac:dyDescent="0.2">
      <c r="C19" s="26" t="s">
        <v>26</v>
      </c>
      <c r="D19" s="14"/>
      <c r="E19" s="14"/>
      <c r="F19" s="14"/>
      <c r="G19" s="14"/>
      <c r="H19" s="14"/>
      <c r="I19" s="14"/>
    </row>
    <row r="20" spans="1:10" s="13" customFormat="1" ht="36" customHeight="1" x14ac:dyDescent="0.2">
      <c r="C20" s="236" t="s">
        <v>106</v>
      </c>
      <c r="D20" s="236"/>
      <c r="E20" s="236"/>
      <c r="F20" s="236"/>
      <c r="G20" s="14"/>
      <c r="H20" s="14"/>
      <c r="I20" s="14"/>
    </row>
    <row r="21" spans="1:10" ht="25.5" customHeight="1" x14ac:dyDescent="0.2">
      <c r="A21" s="60" t="s">
        <v>64</v>
      </c>
      <c r="B21" s="60" t="s">
        <v>67</v>
      </c>
      <c r="C21" s="28" t="s">
        <v>18</v>
      </c>
      <c r="D21" s="36" t="s">
        <v>0</v>
      </c>
      <c r="E21" s="28" t="s">
        <v>5</v>
      </c>
      <c r="F21" s="29" t="s">
        <v>16</v>
      </c>
      <c r="G21" s="29" t="s">
        <v>17</v>
      </c>
      <c r="H21" s="60" t="s">
        <v>36</v>
      </c>
      <c r="I21" s="60" t="s">
        <v>46</v>
      </c>
      <c r="J21" s="60" t="s">
        <v>47</v>
      </c>
    </row>
    <row r="22" spans="1:10" s="155" customFormat="1" ht="21" customHeight="1" x14ac:dyDescent="0.2">
      <c r="A22" s="153"/>
      <c r="B22" s="153"/>
      <c r="C22" s="157">
        <v>1</v>
      </c>
      <c r="D22" s="162" t="s">
        <v>116</v>
      </c>
      <c r="E22" s="146">
        <v>1</v>
      </c>
      <c r="F22" s="145">
        <v>2500</v>
      </c>
      <c r="G22" s="145">
        <v>2500</v>
      </c>
      <c r="H22" s="173">
        <f>Activiteiten[[#This Row],[Activiteit Nr.]]</f>
        <v>1</v>
      </c>
      <c r="I22" s="154"/>
      <c r="J22" s="153"/>
    </row>
    <row r="23" spans="1:10" s="155" customFormat="1" ht="21" customHeight="1" x14ac:dyDescent="0.2">
      <c r="A23" s="153"/>
      <c r="B23" s="153"/>
      <c r="C23" s="157">
        <v>2</v>
      </c>
      <c r="D23" s="162" t="s">
        <v>117</v>
      </c>
      <c r="E23" s="146">
        <v>1</v>
      </c>
      <c r="F23" s="145">
        <v>1000</v>
      </c>
      <c r="G23" s="145">
        <v>10000</v>
      </c>
      <c r="H23" s="173">
        <f>Activiteiten[[#This Row],[Activiteit Nr.]]</f>
        <v>2</v>
      </c>
      <c r="I23" s="154"/>
      <c r="J23" s="153"/>
    </row>
    <row r="24" spans="1:10" s="155" customFormat="1" ht="21" customHeight="1" x14ac:dyDescent="0.2">
      <c r="A24" s="153"/>
      <c r="B24" s="153"/>
      <c r="C24" s="157">
        <v>3</v>
      </c>
      <c r="D24" s="162" t="s">
        <v>118</v>
      </c>
      <c r="E24" s="146">
        <v>1</v>
      </c>
      <c r="F24" s="145">
        <v>500</v>
      </c>
      <c r="G24" s="145">
        <v>2500</v>
      </c>
      <c r="H24" s="173">
        <f>Activiteiten[[#This Row],[Activiteit Nr.]]</f>
        <v>3</v>
      </c>
      <c r="I24" s="154"/>
      <c r="J24" s="153"/>
    </row>
    <row r="25" spans="1:10" s="155" customFormat="1" ht="21" customHeight="1" x14ac:dyDescent="0.2">
      <c r="A25" s="153"/>
      <c r="B25" s="153"/>
      <c r="C25" s="158">
        <v>4</v>
      </c>
      <c r="D25" s="163" t="s">
        <v>119</v>
      </c>
      <c r="E25" s="148">
        <v>0.8</v>
      </c>
      <c r="F25" s="147">
        <v>1000</v>
      </c>
      <c r="G25" s="147">
        <v>5000</v>
      </c>
      <c r="H25" s="173">
        <f>Activiteiten[[#This Row],[Activiteit Nr.]]</f>
        <v>4</v>
      </c>
      <c r="I25" s="154"/>
      <c r="J25" s="153"/>
    </row>
    <row r="26" spans="1:10" s="155" customFormat="1" ht="21" customHeight="1" x14ac:dyDescent="0.2">
      <c r="A26" s="166"/>
      <c r="B26" s="166"/>
      <c r="C26" s="167">
        <v>5</v>
      </c>
      <c r="D26" s="168" t="s">
        <v>120</v>
      </c>
      <c r="E26" s="169">
        <v>0.8</v>
      </c>
      <c r="F26" s="170">
        <v>1000</v>
      </c>
      <c r="G26" s="170">
        <v>10000</v>
      </c>
      <c r="H26" s="174">
        <f>Activiteiten[[#This Row],[Activiteit Nr.]]</f>
        <v>5</v>
      </c>
      <c r="I26" s="171"/>
      <c r="J26" s="166"/>
    </row>
    <row r="27" spans="1:10" ht="21" customHeight="1" x14ac:dyDescent="0.2">
      <c r="C27" s="1"/>
      <c r="D27" s="1"/>
      <c r="E27" s="1"/>
      <c r="F27" s="1"/>
      <c r="G27" s="1"/>
      <c r="H27"/>
      <c r="I27"/>
    </row>
    <row r="28" spans="1:10" ht="12.6" x14ac:dyDescent="0.2">
      <c r="C28" s="26" t="s">
        <v>29</v>
      </c>
      <c r="D28"/>
      <c r="E28"/>
      <c r="F28"/>
      <c r="G28"/>
      <c r="H28"/>
      <c r="I28"/>
    </row>
    <row r="29" spans="1:10" ht="15.75" customHeight="1" thickBot="1" x14ac:dyDescent="0.25">
      <c r="C29" s="179" t="s">
        <v>99</v>
      </c>
      <c r="D29"/>
      <c r="E29"/>
      <c r="F29"/>
      <c r="G29"/>
      <c r="H29"/>
      <c r="I29"/>
    </row>
    <row r="30" spans="1:10" x14ac:dyDescent="0.2">
      <c r="C30" s="240"/>
      <c r="D30" s="241"/>
      <c r="E30" s="241"/>
      <c r="F30" s="241"/>
      <c r="G30" s="241"/>
      <c r="H30" s="241"/>
      <c r="I30" s="242"/>
    </row>
    <row r="31" spans="1:10" x14ac:dyDescent="0.2">
      <c r="C31" s="243"/>
      <c r="D31" s="244"/>
      <c r="E31" s="244"/>
      <c r="F31" s="244"/>
      <c r="G31" s="244"/>
      <c r="H31" s="244"/>
      <c r="I31" s="245"/>
    </row>
    <row r="32" spans="1:10" x14ac:dyDescent="0.2">
      <c r="C32" s="243"/>
      <c r="D32" s="244"/>
      <c r="E32" s="244"/>
      <c r="F32" s="244"/>
      <c r="G32" s="244"/>
      <c r="H32" s="244"/>
      <c r="I32" s="245"/>
    </row>
    <row r="33" spans="3:14" x14ac:dyDescent="0.2">
      <c r="C33" s="243"/>
      <c r="D33" s="244"/>
      <c r="E33" s="244"/>
      <c r="F33" s="244"/>
      <c r="G33" s="244"/>
      <c r="H33" s="244"/>
      <c r="I33" s="245"/>
    </row>
    <row r="34" spans="3:14" x14ac:dyDescent="0.2">
      <c r="C34" s="243"/>
      <c r="D34" s="244"/>
      <c r="E34" s="244"/>
      <c r="F34" s="244"/>
      <c r="G34" s="244"/>
      <c r="H34" s="244"/>
      <c r="I34" s="245"/>
    </row>
    <row r="35" spans="3:14" ht="10.8" thickBot="1" x14ac:dyDescent="0.25">
      <c r="C35" s="246"/>
      <c r="D35" s="247"/>
      <c r="E35" s="247"/>
      <c r="F35" s="247"/>
      <c r="G35" s="247"/>
      <c r="H35" s="247"/>
      <c r="I35" s="248"/>
    </row>
    <row r="36" spans="3:14" ht="22.5" customHeight="1" x14ac:dyDescent="0.2">
      <c r="C36"/>
      <c r="D36"/>
      <c r="E36"/>
      <c r="F36"/>
      <c r="G36"/>
      <c r="H36"/>
      <c r="I36"/>
    </row>
    <row r="37" spans="3:14" ht="16.2" x14ac:dyDescent="0.3">
      <c r="C37" s="32" t="s">
        <v>30</v>
      </c>
      <c r="D37" s="8"/>
      <c r="E37" s="8"/>
      <c r="F37" s="8"/>
      <c r="G37" s="8"/>
      <c r="H37" s="2"/>
      <c r="I37" s="2"/>
      <c r="J37" s="2"/>
      <c r="K37" s="2"/>
      <c r="L37" s="2"/>
      <c r="M37" s="2"/>
      <c r="N37" s="2"/>
    </row>
    <row r="38" spans="3:14" x14ac:dyDescent="0.2">
      <c r="C38" s="8"/>
      <c r="D38" s="8"/>
      <c r="E38" s="8"/>
      <c r="F38" s="8"/>
      <c r="G38" s="8"/>
      <c r="H38" s="2"/>
      <c r="I38" s="2"/>
      <c r="J38" s="2"/>
      <c r="K38" s="2"/>
      <c r="L38" s="2"/>
      <c r="M38" s="2"/>
      <c r="N38" s="2"/>
    </row>
    <row r="39" spans="3:14" ht="10.5" customHeight="1" x14ac:dyDescent="0.2">
      <c r="C39" s="230" t="s">
        <v>84</v>
      </c>
      <c r="D39" s="230"/>
      <c r="E39" s="230"/>
      <c r="F39" s="33"/>
      <c r="G39" s="33"/>
      <c r="H39" s="33"/>
      <c r="I39" s="33"/>
      <c r="J39"/>
      <c r="K39"/>
      <c r="L39"/>
      <c r="M39"/>
      <c r="N39"/>
    </row>
    <row r="40" spans="3:14" ht="10.5" customHeight="1" x14ac:dyDescent="0.2">
      <c r="C40" s="230"/>
      <c r="D40" s="230"/>
      <c r="E40" s="230"/>
      <c r="F40" s="33"/>
      <c r="G40" s="33"/>
      <c r="H40" s="33"/>
      <c r="I40" s="33"/>
    </row>
    <row r="41" spans="3:14" ht="10.5" customHeight="1" x14ac:dyDescent="0.2">
      <c r="C41" s="230"/>
      <c r="D41" s="230"/>
      <c r="E41" s="230"/>
    </row>
    <row r="42" spans="3:14" x14ac:dyDescent="0.2">
      <c r="C42" s="230"/>
      <c r="D42" s="230"/>
      <c r="E42" s="230"/>
    </row>
    <row r="43" spans="3:14" x14ac:dyDescent="0.2"/>
    <row r="44" spans="3:14" x14ac:dyDescent="0.2"/>
    <row r="45" spans="3:14" x14ac:dyDescent="0.2"/>
    <row r="46" spans="3:14" x14ac:dyDescent="0.2"/>
    <row r="47" spans="3:14" x14ac:dyDescent="0.2"/>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ht="10.8" thickBot="1" x14ac:dyDescent="0.25"/>
    <row r="66" spans="3:9" s="13" customFormat="1" ht="18" customHeight="1" x14ac:dyDescent="0.2">
      <c r="C66" s="34" t="str">
        <f>CONCATENATE("Subsidieaanvraag voor ",$D$7)</f>
        <v>Subsidieaanvraag voor Paragraaf 3.6 Lokale energie-initiatieven 4.0</v>
      </c>
      <c r="D66" s="35"/>
      <c r="E66" s="35"/>
      <c r="F66" s="229" t="s">
        <v>25</v>
      </c>
      <c r="G66" s="229"/>
      <c r="H66" s="229"/>
      <c r="I66" s="229"/>
    </row>
  </sheetData>
  <sheetProtection formatCells="0" formatRows="0" insertColumns="0" insertRows="0" insertHyperlinks="0" deleteRows="0" sort="0" autoFilter="0" pivotTables="0"/>
  <mergeCells count="10">
    <mergeCell ref="F66:I66"/>
    <mergeCell ref="C39:E42"/>
    <mergeCell ref="C17:D17"/>
    <mergeCell ref="E13:I13"/>
    <mergeCell ref="E15:I15"/>
    <mergeCell ref="C13:D13"/>
    <mergeCell ref="C15:D15"/>
    <mergeCell ref="C20:F20"/>
    <mergeCell ref="E17:I17"/>
    <mergeCell ref="C30:I35"/>
  </mergeCells>
  <dataValidations count="4">
    <dataValidation type="textLength" operator="lessThan" allowBlank="1" showInputMessage="1" showErrorMessage="1" errorTitle="Te veel tekens" error="U hebt meer dan 2500 tekens gebruikt. Kort de omschrijving/opmerking in." sqref="C3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A.u.b. niets wijzigen in de grijze cellen." sqref="C22:G26" xr:uid="{00000000-0002-0000-0000-000002000000}">
      <formula1>FALSE</formula1>
    </dataValidation>
    <dataValidation type="custom" allowBlank="1" showInputMessage="1" showErrorMessage="1" error="Hier a.u.b. geen wijzigingen" sqref="J17:P100 E1:P12 J15:P15 J13:P13 C36:I100 H21:I29 E18:I20 C27:G29 E16:P16 E14:P14 C1:D20 A1:B100" xr:uid="{C737369D-40F2-4184-AE8D-2D7FEB815499}">
      <formula1>FALSE</formula1>
    </dataValidation>
  </dataValidations>
  <pageMargins left="0.7" right="0.7" top="0.75" bottom="0.75" header="0.3" footer="0.3"/>
  <pageSetup paperSize="9" scale="7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S74"/>
  <sheetViews>
    <sheetView showGridLines="0" zoomScaleNormal="100" workbookViewId="0">
      <selection activeCell="C16" sqref="C16"/>
    </sheetView>
  </sheetViews>
  <sheetFormatPr defaultColWidth="9.125" defaultRowHeight="0" customHeight="1" zeroHeight="1" x14ac:dyDescent="0.2"/>
  <cols>
    <col min="1" max="2" width="2.875" style="3" customWidth="1"/>
    <col min="3" max="3" width="11.625" style="25" customWidth="1"/>
    <col min="4" max="5" width="12.125" style="25" customWidth="1"/>
    <col min="6" max="6" width="10.75" style="25" customWidth="1"/>
    <col min="7" max="7" width="11.75" style="25" customWidth="1"/>
    <col min="8" max="8" width="9.25" style="25" customWidth="1"/>
    <col min="9" max="9" width="10.625" style="25" customWidth="1"/>
    <col min="10" max="11" width="11.875" style="25" customWidth="1"/>
    <col min="12" max="12" width="12.75" style="25" customWidth="1"/>
    <col min="13" max="13" width="12.5" style="25" customWidth="1"/>
    <col min="14" max="14" width="12.125" style="3" customWidth="1"/>
    <col min="15" max="15" width="9.25" style="3" customWidth="1"/>
    <col min="16" max="16" width="12.125" style="3" customWidth="1"/>
    <col min="17" max="17" width="5.75" style="3" customWidth="1"/>
    <col min="18" max="19" width="15.75" style="68" customWidth="1"/>
    <col min="20" max="16383" width="9.125" style="68" customWidth="1"/>
    <col min="16384" max="16384" width="9.125" style="68"/>
  </cols>
  <sheetData>
    <row r="1" spans="1:19" ht="10.199999999999999" x14ac:dyDescent="0.2">
      <c r="A1" s="2"/>
      <c r="B1" s="2"/>
      <c r="C1" s="42"/>
      <c r="D1" s="42"/>
      <c r="E1" s="42"/>
      <c r="F1" s="42"/>
      <c r="G1" s="42"/>
      <c r="H1" s="42"/>
      <c r="I1" s="42"/>
      <c r="J1" s="42"/>
      <c r="K1" s="42"/>
      <c r="L1" s="42"/>
      <c r="M1" s="42"/>
      <c r="N1" s="2"/>
      <c r="O1" s="2"/>
      <c r="P1" s="2"/>
      <c r="Q1" s="2"/>
      <c r="R1" s="69"/>
      <c r="S1" s="69"/>
    </row>
    <row r="2" spans="1:19" ht="10.199999999999999" x14ac:dyDescent="0.2">
      <c r="A2" s="2"/>
      <c r="B2" s="2"/>
      <c r="H2" s="42"/>
      <c r="I2" s="42"/>
      <c r="J2" s="42"/>
      <c r="K2" s="42"/>
      <c r="O2" s="2"/>
      <c r="P2" s="2"/>
      <c r="Q2" s="2"/>
      <c r="R2" s="69"/>
      <c r="S2" s="69"/>
    </row>
    <row r="3" spans="1:19" ht="10.199999999999999" x14ac:dyDescent="0.2">
      <c r="A3" s="2"/>
      <c r="B3" s="2"/>
      <c r="C3" s="43"/>
      <c r="D3" s="43"/>
      <c r="E3" s="43"/>
      <c r="F3" s="43"/>
      <c r="G3" s="43"/>
      <c r="H3" s="42"/>
      <c r="I3" s="42"/>
      <c r="J3" s="42"/>
      <c r="K3" s="42"/>
      <c r="O3" s="2"/>
      <c r="P3" s="2"/>
      <c r="Q3" s="2"/>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4.25" customHeight="1" x14ac:dyDescent="0.2">
      <c r="C6" s="42"/>
      <c r="D6" s="42"/>
      <c r="E6" s="42"/>
      <c r="F6" s="42"/>
      <c r="G6" s="42"/>
      <c r="H6" s="42"/>
      <c r="I6" s="42"/>
      <c r="J6" s="42"/>
      <c r="K6" s="42"/>
    </row>
    <row r="7" spans="1:19" ht="10.199999999999999" x14ac:dyDescent="0.2">
      <c r="C7" s="42"/>
      <c r="D7" s="64" t="s">
        <v>115</v>
      </c>
      <c r="E7" s="42"/>
      <c r="F7" s="42"/>
      <c r="G7" s="42"/>
      <c r="H7" s="42"/>
      <c r="I7" s="42"/>
      <c r="J7" s="42"/>
      <c r="K7" s="42"/>
    </row>
    <row r="8" spans="1:19" ht="10.199999999999999" x14ac:dyDescent="0.2">
      <c r="C8" s="42"/>
      <c r="E8" s="42"/>
      <c r="F8" s="42"/>
      <c r="G8" s="42"/>
      <c r="H8" s="42"/>
      <c r="I8" s="42"/>
      <c r="J8" s="42"/>
      <c r="K8" s="42"/>
    </row>
    <row r="9" spans="1:19" ht="10.199999999999999" x14ac:dyDescent="0.2">
      <c r="C9" s="42"/>
      <c r="E9" s="42"/>
      <c r="F9" s="42"/>
      <c r="G9" s="42"/>
      <c r="H9" s="42"/>
      <c r="I9" s="42"/>
      <c r="J9" s="42"/>
      <c r="K9" s="42"/>
    </row>
    <row r="10" spans="1:19" ht="16.2" x14ac:dyDescent="0.3">
      <c r="C10" s="46" t="s">
        <v>1</v>
      </c>
      <c r="D10" s="46"/>
      <c r="E10" s="46"/>
      <c r="F10" s="46"/>
      <c r="G10" s="46"/>
      <c r="H10" s="42"/>
      <c r="I10" s="42"/>
      <c r="J10" s="42"/>
      <c r="K10" s="42"/>
    </row>
    <row r="11" spans="1:19" ht="16.2" x14ac:dyDescent="0.3">
      <c r="C11" s="118" t="s">
        <v>73</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216" t="s">
        <v>86</v>
      </c>
      <c r="D13" s="216"/>
      <c r="E13" s="216"/>
      <c r="F13" s="216"/>
      <c r="G13" s="42"/>
      <c r="H13" s="42"/>
      <c r="I13" s="42"/>
      <c r="J13" s="42"/>
      <c r="K13" s="42"/>
      <c r="L13" s="178" t="s">
        <v>98</v>
      </c>
      <c r="M13" s="176"/>
      <c r="N13" s="177"/>
    </row>
    <row r="14" spans="1:19" s="70" customFormat="1" ht="7.5" customHeight="1" x14ac:dyDescent="0.2">
      <c r="A14" s="13"/>
      <c r="B14" s="13"/>
      <c r="C14" s="47"/>
      <c r="D14" s="47"/>
      <c r="E14" s="47"/>
      <c r="F14" s="47"/>
      <c r="G14" s="47"/>
      <c r="H14" s="48"/>
      <c r="I14" s="48"/>
      <c r="J14" s="48"/>
      <c r="K14" s="48"/>
      <c r="L14" s="48"/>
      <c r="M14" s="48"/>
      <c r="N14" s="14"/>
      <c r="O14" s="13"/>
      <c r="P14" s="13"/>
      <c r="Q14" s="13"/>
    </row>
    <row r="15" spans="1:19" ht="59.25" customHeight="1" x14ac:dyDescent="0.2">
      <c r="A15" s="112" t="s">
        <v>46</v>
      </c>
      <c r="B15" s="112" t="s">
        <v>47</v>
      </c>
      <c r="C15" s="72" t="s">
        <v>108</v>
      </c>
      <c r="D15" s="72" t="s">
        <v>100</v>
      </c>
      <c r="E15" s="72" t="s">
        <v>43</v>
      </c>
      <c r="F15" s="72" t="s">
        <v>39</v>
      </c>
      <c r="G15" s="72" t="s">
        <v>41</v>
      </c>
      <c r="H15" s="72" t="s">
        <v>114</v>
      </c>
      <c r="I15" s="72" t="s">
        <v>113</v>
      </c>
      <c r="J15" s="72" t="s">
        <v>105</v>
      </c>
      <c r="K15" s="72" t="s">
        <v>40</v>
      </c>
      <c r="L15" s="72" t="s">
        <v>44</v>
      </c>
      <c r="M15" s="72" t="s">
        <v>7</v>
      </c>
      <c r="N15" s="72" t="s">
        <v>45</v>
      </c>
      <c r="O15" s="72" t="s">
        <v>5</v>
      </c>
      <c r="P15" s="72" t="s">
        <v>96</v>
      </c>
      <c r="Q15" s="66" t="s">
        <v>36</v>
      </c>
    </row>
    <row r="16" spans="1:19" ht="22.5" customHeight="1" x14ac:dyDescent="0.2">
      <c r="A16" s="110"/>
      <c r="B16" s="110"/>
      <c r="C16" s="199"/>
      <c r="D16" s="200"/>
      <c r="E16" s="200"/>
      <c r="F16" s="92"/>
      <c r="G16" s="73"/>
      <c r="H16" s="73"/>
      <c r="I16" s="197" t="str">
        <f t="shared" ref="I16:I20" si="0">IF(F16="","",(F16/1836)*1.5)</f>
        <v/>
      </c>
      <c r="J16" s="75" t="str">
        <f>IF(I16="","",IFERROR(IF(tblPersoneelskosten[[#This Row],[Loonkostensoort (klik op de cel voor info)]] = "Var. Loonk. + Opslag",IF(tblPersoneelskosten[[#This Row],[Berekend uurtarief var. kosten + opslag]]&gt;130,130,tblPersoneelskosten[[#This Row],[Berekend uurtarief var. kosten + opslag]]),""),""))</f>
        <v/>
      </c>
      <c r="K16" s="74"/>
      <c r="L16" s="74" t="str">
        <f>IF(tblPersoneelskosten[[#This Row],[Loonkostensoort (klik op de cel voor info)]]="Vaste loonkosten",40,"")</f>
        <v/>
      </c>
      <c r="M16" s="204"/>
      <c r="N16"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6" s="73" t="str">
        <f>_xlfn.IFNA(VLOOKUP(tblPersoneelskosten[[#This Row],[Activiteit (klik op de cel en vul deze altijd in)]],Activiteiten[[Activiteit Nr.]:[Subsidie %]],3,0),"")</f>
        <v/>
      </c>
      <c r="P16" s="94" t="str">
        <f>IFERROR((tblPersoneelskosten[[#This Row],[Totale loon- kosten]])*tblPersoneelskosten[[#This Row],[Subsidie %]], "")</f>
        <v/>
      </c>
      <c r="Q16" s="61"/>
    </row>
    <row r="17" spans="1:19" ht="22.5" customHeight="1" x14ac:dyDescent="0.2">
      <c r="A17" s="110"/>
      <c r="B17" s="110"/>
      <c r="C17" s="199"/>
      <c r="D17" s="201"/>
      <c r="E17" s="201"/>
      <c r="F17" s="92"/>
      <c r="G17" s="73"/>
      <c r="H17" s="73"/>
      <c r="I17" s="197" t="str">
        <f t="shared" si="0"/>
        <v/>
      </c>
      <c r="J17" s="75" t="str">
        <f>IF(I17="","",IFERROR(IF(tblPersoneelskosten[[#This Row],[Loonkostensoort (klik op de cel voor info)]] = "Var. Loonk. + Opslag",IF(tblPersoneelskosten[[#This Row],[Berekend uurtarief var. kosten + opslag]]&gt;130,130,tblPersoneelskosten[[#This Row],[Berekend uurtarief var. kosten + opslag]]),""),""))</f>
        <v/>
      </c>
      <c r="K17" s="74"/>
      <c r="L17" s="74" t="str">
        <f>IF(tblPersoneelskosten[[#This Row],[Loonkostensoort (klik op de cel voor info)]]="Vaste loonkosten",40,"")</f>
        <v/>
      </c>
      <c r="M17" s="204"/>
      <c r="N17"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7" s="73" t="str">
        <f>_xlfn.IFNA(VLOOKUP(tblPersoneelskosten[[#This Row],[Activiteit (klik op de cel en vul deze altijd in)]],Activiteiten[[Activiteit Nr.]:[Subsidie %]],3,0),"")</f>
        <v/>
      </c>
      <c r="P17" s="94" t="str">
        <f>IFERROR((tblPersoneelskosten[[#This Row],[Totale loon- kosten]])*tblPersoneelskosten[[#This Row],[Subsidie %]], "")</f>
        <v/>
      </c>
      <c r="Q17" s="61"/>
    </row>
    <row r="18" spans="1:19" ht="22.5" customHeight="1" x14ac:dyDescent="0.2">
      <c r="A18" s="110"/>
      <c r="B18" s="110"/>
      <c r="C18" s="199"/>
      <c r="D18" s="200"/>
      <c r="E18" s="200"/>
      <c r="F18" s="92"/>
      <c r="G18" s="73"/>
      <c r="H18" s="73"/>
      <c r="I18" s="197" t="str">
        <f t="shared" si="0"/>
        <v/>
      </c>
      <c r="J18" s="75" t="str">
        <f>IF(I18="","",IFERROR(IF(tblPersoneelskosten[[#This Row],[Loonkostensoort (klik op de cel voor info)]] = "Var. Loonk. + Opslag",IF(tblPersoneelskosten[[#This Row],[Berekend uurtarief var. kosten + opslag]]&gt;130,130,tblPersoneelskosten[[#This Row],[Berekend uurtarief var. kosten + opslag]]),""),""))</f>
        <v/>
      </c>
      <c r="K18" s="74"/>
      <c r="L18" s="74" t="str">
        <f>IF(tblPersoneelskosten[[#This Row],[Loonkostensoort (klik op de cel voor info)]]="Vaste loonkosten",40,"")</f>
        <v/>
      </c>
      <c r="M18" s="204"/>
      <c r="N18"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8" s="73" t="str">
        <f>_xlfn.IFNA(VLOOKUP(tblPersoneelskosten[[#This Row],[Activiteit (klik op de cel en vul deze altijd in)]],Activiteiten[[Activiteit Nr.]:[Subsidie %]],3,0),"")</f>
        <v/>
      </c>
      <c r="P18" s="94" t="str">
        <f>IFERROR((tblPersoneelskosten[[#This Row],[Totale loon- kosten]])*tblPersoneelskosten[[#This Row],[Subsidie %]], "")</f>
        <v/>
      </c>
      <c r="Q18" s="61"/>
    </row>
    <row r="19" spans="1:19" ht="22.5" customHeight="1" x14ac:dyDescent="0.2">
      <c r="A19" s="110"/>
      <c r="B19" s="110"/>
      <c r="C19" s="202"/>
      <c r="D19" s="203"/>
      <c r="E19" s="203"/>
      <c r="F19" s="93"/>
      <c r="G19" s="78"/>
      <c r="H19" s="78"/>
      <c r="I19" s="198" t="str">
        <f t="shared" si="0"/>
        <v/>
      </c>
      <c r="J19" s="77" t="str">
        <f>IF(I19="","",IFERROR(IF(tblPersoneelskosten[[#This Row],[Loonkostensoort (klik op de cel voor info)]] = "Var. Loonk. + Opslag",IF(tblPersoneelskosten[[#This Row],[Berekend uurtarief var. kosten + opslag]]&gt;130,130,tblPersoneelskosten[[#This Row],[Berekend uurtarief var. kosten + opslag]]),""),""))</f>
        <v/>
      </c>
      <c r="K19" s="76"/>
      <c r="L19" s="76" t="str">
        <f>IF(tblPersoneelskosten[[#This Row],[Loonkostensoort (klik op de cel voor info)]]="Vaste loonkosten",40,"")</f>
        <v/>
      </c>
      <c r="M19" s="205"/>
      <c r="N19"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9" s="78" t="str">
        <f>_xlfn.IFNA(VLOOKUP(tblPersoneelskosten[[#This Row],[Activiteit (klik op de cel en vul deze altijd in)]],Activiteiten[[Activiteit Nr.]:[Subsidie %]],3,0),"")</f>
        <v/>
      </c>
      <c r="P19" s="94" t="str">
        <f>IFERROR((tblPersoneelskosten[[#This Row],[Totale loon- kosten]])*tblPersoneelskosten[[#This Row],[Subsidie %]], "")</f>
        <v/>
      </c>
      <c r="Q19" s="79"/>
    </row>
    <row r="20" spans="1:19" ht="22.5" customHeight="1" thickBot="1" x14ac:dyDescent="0.25">
      <c r="A20" s="110"/>
      <c r="B20" s="110"/>
      <c r="C20" s="202"/>
      <c r="D20" s="203"/>
      <c r="E20" s="203"/>
      <c r="F20" s="93"/>
      <c r="G20" s="78"/>
      <c r="H20" s="78"/>
      <c r="I20" s="198" t="str">
        <f t="shared" si="0"/>
        <v/>
      </c>
      <c r="J20" s="77" t="str">
        <f>IF(I20="","",IFERROR(IF(tblPersoneelskosten[[#This Row],[Loonkostensoort (klik op de cel voor info)]] = "Var. Loonk. + Opslag",IF(tblPersoneelskosten[[#This Row],[Berekend uurtarief var. kosten + opslag]]&gt;130,130,tblPersoneelskosten[[#This Row],[Berekend uurtarief var. kosten + opslag]]),""),""))</f>
        <v/>
      </c>
      <c r="K20" s="76"/>
      <c r="L20" s="76" t="str">
        <f>IF(tblPersoneelskosten[[#This Row],[Loonkostensoort (klik op de cel voor info)]]="Vaste loonkosten",40,"")</f>
        <v/>
      </c>
      <c r="M20" s="205"/>
      <c r="N20"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20" s="78" t="str">
        <f>_xlfn.IFNA(VLOOKUP(tblPersoneelskosten[[#This Row],[Activiteit (klik op de cel en vul deze altijd in)]],Activiteiten[[Activiteit Nr.]:[Subsidie %]],3,0),"")</f>
        <v/>
      </c>
      <c r="P20" s="94" t="str">
        <f>IFERROR((tblPersoneelskosten[[#This Row],[Totale loon- kosten]])*tblPersoneelskosten[[#This Row],[Subsidie %]], "")</f>
        <v/>
      </c>
      <c r="Q20" s="79"/>
    </row>
    <row r="21" spans="1:19" ht="26.25" customHeight="1" thickTop="1" x14ac:dyDescent="0.2">
      <c r="B21" s="96"/>
      <c r="C21" s="249" t="s">
        <v>58</v>
      </c>
      <c r="D21" s="249"/>
      <c r="E21" s="249"/>
      <c r="F21" s="249"/>
      <c r="G21" s="249"/>
      <c r="H21" s="249"/>
      <c r="I21" s="249"/>
      <c r="J21" s="249"/>
      <c r="K21" s="249"/>
      <c r="L21" s="152"/>
      <c r="M21" s="188" t="s">
        <v>103</v>
      </c>
      <c r="N21" s="165">
        <f>SUM(tblPersoneelskosten[Totale loon- kosten])</f>
        <v>0</v>
      </c>
      <c r="O21" s="52"/>
      <c r="P21" s="165">
        <f>SUM(tblPersoneelskosten[Subsidie aanvraag])</f>
        <v>0</v>
      </c>
      <c r="Q21" s="79"/>
    </row>
    <row r="22" spans="1:19" ht="18.75" customHeight="1" x14ac:dyDescent="0.2">
      <c r="B22" s="96"/>
      <c r="C22" s="253"/>
      <c r="D22" s="253"/>
      <c r="E22" s="253"/>
      <c r="F22" s="253"/>
      <c r="G22" s="253"/>
      <c r="H22" s="253"/>
      <c r="I22" s="253"/>
      <c r="J22" s="253"/>
      <c r="K22" s="253"/>
      <c r="L22" s="253"/>
      <c r="M22" s="253"/>
      <c r="N22" s="253"/>
      <c r="O22" s="253"/>
      <c r="P22" s="143"/>
      <c r="Q22" s="79"/>
    </row>
    <row r="23" spans="1:19" ht="12" customHeight="1" x14ac:dyDescent="0.2">
      <c r="C23" s="26" t="s">
        <v>26</v>
      </c>
      <c r="D23" s="14"/>
      <c r="E23" s="42"/>
      <c r="F23" s="42"/>
      <c r="G23" s="42"/>
      <c r="H23" s="42"/>
      <c r="I23" s="42"/>
      <c r="J23" s="42"/>
      <c r="K23" s="42"/>
    </row>
    <row r="24" spans="1:19" ht="25.5" customHeight="1" x14ac:dyDescent="0.2">
      <c r="C24" s="252" t="s">
        <v>91</v>
      </c>
      <c r="D24" s="252"/>
      <c r="E24" s="252"/>
      <c r="F24" s="252"/>
      <c r="G24" s="252"/>
      <c r="H24" s="252"/>
      <c r="I24" s="252"/>
      <c r="J24" s="252"/>
      <c r="K24" s="252"/>
      <c r="L24" s="252"/>
      <c r="M24" s="252"/>
      <c r="N24" s="252"/>
      <c r="O24" s="252"/>
    </row>
    <row r="25" spans="1:19" ht="20.399999999999999" x14ac:dyDescent="0.2">
      <c r="C25" s="63" t="s">
        <v>37</v>
      </c>
      <c r="D25" s="63" t="s">
        <v>0</v>
      </c>
      <c r="E25" s="63"/>
      <c r="F25" s="63"/>
      <c r="G25" s="63"/>
      <c r="H25" s="63"/>
      <c r="I25" s="63"/>
      <c r="J25" s="63"/>
      <c r="K25" s="63"/>
      <c r="L25" s="250" t="s">
        <v>102</v>
      </c>
      <c r="M25" s="250"/>
      <c r="N25" s="82" t="s">
        <v>48</v>
      </c>
      <c r="O25" s="250" t="s">
        <v>49</v>
      </c>
      <c r="P25" s="250"/>
    </row>
    <row r="26" spans="1:19" ht="18" customHeight="1" x14ac:dyDescent="0.2">
      <c r="C26" s="104">
        <f>IF(Beginpagina!$C$22=0,"",Beginpagina!$C$22)</f>
        <v>1</v>
      </c>
      <c r="D26" s="255" t="str">
        <f>IF(Beginpagina!D22=0,"",Beginpagina!D22)</f>
        <v xml:space="preserve">Het inrichten en oprichten van een LEI </v>
      </c>
      <c r="E26" s="255"/>
      <c r="F26" s="255"/>
      <c r="G26" s="255"/>
      <c r="H26" s="255"/>
      <c r="I26" s="255"/>
      <c r="J26" s="255"/>
      <c r="K26" s="255"/>
      <c r="L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M26" s="251"/>
      <c r="N26" s="105">
        <f>_xlfn.IFNA(VLOOKUP(C26,Beginpagina!C22:G27,5,0),"")</f>
        <v>2500</v>
      </c>
      <c r="O26" s="251">
        <f t="shared" ref="O26:O30" si="1">IFERROR((IF(N26&gt;L26,N26-L26,0)),"")</f>
        <v>2500</v>
      </c>
      <c r="P26" s="251"/>
    </row>
    <row r="27" spans="1:19" ht="18" customHeight="1" x14ac:dyDescent="0.2">
      <c r="C27" s="104">
        <f>IF(Beginpagina!$C$23=0,"",Beginpagina!$C$23)</f>
        <v>2</v>
      </c>
      <c r="D27" s="255" t="str">
        <f>IF(Beginpagina!D23=0,"",Beginpagina!D23)</f>
        <v xml:space="preserve">Uitvoeren van een energiebesparingsproject/eenvoudige energiebesparingsmaatregelen </v>
      </c>
      <c r="E27" s="255"/>
      <c r="F27" s="255"/>
      <c r="G27" s="255"/>
      <c r="H27" s="255"/>
      <c r="I27" s="255"/>
      <c r="J27" s="255"/>
      <c r="K27" s="255"/>
      <c r="L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M27" s="251"/>
      <c r="N27" s="105">
        <f>_xlfn.IFNA(VLOOKUP(C27,Beginpagina!C23:G28,5,0),"")</f>
        <v>10000</v>
      </c>
      <c r="O27" s="251">
        <f t="shared" si="1"/>
        <v>10000</v>
      </c>
      <c r="P27" s="251"/>
    </row>
    <row r="28" spans="1:19" ht="18" customHeight="1" x14ac:dyDescent="0.2">
      <c r="C28" s="104">
        <f>IF(Beginpagina!$C$24=0,"",Beginpagina!$C$24)</f>
        <v>3</v>
      </c>
      <c r="D28" s="255" t="str">
        <f>IF(Beginpagina!D24=0,"",Beginpagina!D24)</f>
        <v xml:space="preserve">Opleiden van vrijwilligers tot energiefixer of energiebesparingscoach </v>
      </c>
      <c r="E28" s="255"/>
      <c r="F28" s="255"/>
      <c r="G28" s="255"/>
      <c r="H28" s="255"/>
      <c r="I28" s="255"/>
      <c r="J28" s="255"/>
      <c r="K28" s="255"/>
      <c r="L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M28" s="251"/>
      <c r="N28" s="105">
        <f>_xlfn.IFNA(VLOOKUP(C28,Beginpagina!C24:G29,5,0),"")</f>
        <v>2500</v>
      </c>
      <c r="O28" s="251">
        <f t="shared" si="1"/>
        <v>2500</v>
      </c>
      <c r="P28" s="251"/>
    </row>
    <row r="29" spans="1:19" ht="18" customHeight="1" x14ac:dyDescent="0.2">
      <c r="C29" s="104">
        <f>IF(Beginpagina!$C$25=0,"",Beginpagina!$C$25)</f>
        <v>4</v>
      </c>
      <c r="D29" s="255" t="str">
        <f>IF(Beginpagina!D25=0,"",Beginpagina!D25)</f>
        <v xml:space="preserve">Het voorbereiden van een energieopwekproject </v>
      </c>
      <c r="E29" s="255"/>
      <c r="F29" s="255"/>
      <c r="G29" s="255"/>
      <c r="H29" s="255"/>
      <c r="I29" s="255"/>
      <c r="J29" s="255"/>
      <c r="K29" s="255"/>
      <c r="L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M29" s="251"/>
      <c r="N29" s="105">
        <f>_xlfn.IFNA(VLOOKUP(C29,Beginpagina!C25:G30,5,0),"")</f>
        <v>5000</v>
      </c>
      <c r="O29" s="251">
        <f t="shared" si="1"/>
        <v>5000</v>
      </c>
      <c r="P29" s="251"/>
    </row>
    <row r="30" spans="1:19" ht="18" customHeight="1" x14ac:dyDescent="0.2">
      <c r="C30" s="104">
        <f>IF(Beginpagina!$C$26=0,"",Beginpagina!$C$26)</f>
        <v>5</v>
      </c>
      <c r="D30" s="254" t="str">
        <f>IF(Beginpagina!D27=0,"",Beginpagina!D27)</f>
        <v/>
      </c>
      <c r="E30" s="254"/>
      <c r="F30" s="254"/>
      <c r="G30" s="254"/>
      <c r="H30" s="254"/>
      <c r="I30" s="254"/>
      <c r="J30" s="254"/>
      <c r="K30" s="254"/>
      <c r="L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M30" s="251"/>
      <c r="N30" s="106" t="str">
        <f>_xlfn.IFNA(VLOOKUP(C30,Beginpagina!C27:G31,5,0),"")</f>
        <v/>
      </c>
      <c r="O30" s="251" t="str">
        <f t="shared" si="1"/>
        <v/>
      </c>
      <c r="P30" s="251"/>
    </row>
    <row r="31" spans="1:19" ht="7.5" customHeight="1" x14ac:dyDescent="0.2">
      <c r="C31" s="81">
        <f>(MAX(Activiteiten[[#All],[Activiteit Nr.]])+1)</f>
        <v>6</v>
      </c>
      <c r="D31" s="42"/>
      <c r="E31" s="42"/>
      <c r="F31" s="42"/>
      <c r="G31" s="42"/>
      <c r="H31" s="42"/>
      <c r="I31" s="42"/>
      <c r="J31" s="42"/>
      <c r="K31" s="42"/>
      <c r="N31" s="21"/>
    </row>
    <row r="32" spans="1:19" ht="16.2" x14ac:dyDescent="0.3">
      <c r="C32" s="53" t="s">
        <v>31</v>
      </c>
      <c r="D32" s="53"/>
      <c r="E32" s="53"/>
      <c r="F32" s="53"/>
      <c r="G32" s="53"/>
      <c r="H32" s="54"/>
      <c r="I32" s="54"/>
      <c r="J32" s="54"/>
      <c r="K32" s="54"/>
      <c r="L32" s="42"/>
      <c r="M32" s="83"/>
      <c r="N32" s="42"/>
      <c r="O32" s="42"/>
      <c r="P32" s="42"/>
      <c r="Q32" s="42"/>
      <c r="R32" s="69"/>
      <c r="S32" s="69"/>
    </row>
    <row r="33" spans="3:19" ht="10.5" customHeight="1" thickBot="1" x14ac:dyDescent="0.25">
      <c r="C33" s="54"/>
      <c r="D33" s="54"/>
      <c r="E33" s="54"/>
      <c r="F33" s="54"/>
      <c r="G33" s="54"/>
      <c r="H33" s="54"/>
      <c r="I33" s="54"/>
      <c r="J33" s="54"/>
      <c r="K33" s="54"/>
      <c r="L33" s="42"/>
      <c r="M33" s="86"/>
      <c r="N33" s="87"/>
      <c r="O33" s="88"/>
      <c r="P33" s="89"/>
      <c r="Q33" s="42"/>
      <c r="R33" s="71"/>
      <c r="S33" s="71"/>
    </row>
    <row r="34" spans="3:19" ht="10.5" customHeight="1" thickTop="1" x14ac:dyDescent="0.2">
      <c r="C34" s="256" t="s">
        <v>84</v>
      </c>
      <c r="D34" s="256"/>
      <c r="E34" s="256"/>
      <c r="F34" s="256"/>
      <c r="G34" s="256"/>
      <c r="H34" s="256"/>
      <c r="I34" s="256"/>
      <c r="J34" s="256"/>
      <c r="K34" s="55"/>
      <c r="L34" s="55"/>
      <c r="M34" s="49"/>
      <c r="N34" s="84"/>
      <c r="O34" s="21"/>
      <c r="P34" s="21"/>
      <c r="Q34" s="21"/>
    </row>
    <row r="35" spans="3:19" ht="10.5" customHeight="1" x14ac:dyDescent="0.2">
      <c r="C35" s="256"/>
      <c r="D35" s="256"/>
      <c r="E35" s="256"/>
      <c r="F35" s="256"/>
      <c r="G35" s="256"/>
      <c r="H35" s="256"/>
      <c r="I35" s="256"/>
      <c r="J35" s="256"/>
      <c r="K35" s="55"/>
      <c r="L35" s="55"/>
      <c r="M35" s="49"/>
      <c r="N35" s="84"/>
      <c r="O35" s="25"/>
      <c r="P35" s="25"/>
      <c r="Q35" s="25"/>
    </row>
    <row r="36" spans="3:19" ht="10.5" customHeight="1" x14ac:dyDescent="0.2">
      <c r="C36" s="256"/>
      <c r="D36" s="256"/>
      <c r="E36" s="256"/>
      <c r="F36" s="256"/>
      <c r="G36" s="256"/>
      <c r="H36" s="256"/>
      <c r="I36" s="256"/>
      <c r="J36" s="256"/>
      <c r="M36" s="49"/>
      <c r="N36" s="84"/>
      <c r="O36" s="25"/>
      <c r="P36" s="25"/>
      <c r="Q36" s="25"/>
    </row>
    <row r="37" spans="3:19" ht="10.199999999999999" x14ac:dyDescent="0.2">
      <c r="C37" s="256"/>
      <c r="D37" s="256"/>
      <c r="E37" s="256"/>
      <c r="F37" s="256"/>
      <c r="G37" s="256"/>
      <c r="H37" s="256"/>
      <c r="I37" s="256"/>
      <c r="J37" s="256"/>
      <c r="M37" s="49"/>
      <c r="N37" s="84"/>
      <c r="O37" s="25"/>
      <c r="P37" s="25"/>
      <c r="Q37" s="25"/>
    </row>
    <row r="38" spans="3:19" ht="10.199999999999999" x14ac:dyDescent="0.2">
      <c r="C38" s="256"/>
      <c r="D38" s="256"/>
      <c r="E38" s="256"/>
      <c r="F38" s="256"/>
      <c r="G38" s="256"/>
      <c r="H38" s="256"/>
      <c r="I38" s="256"/>
      <c r="J38" s="256"/>
      <c r="M38" s="49"/>
      <c r="N38" s="84"/>
      <c r="O38" s="25"/>
      <c r="P38" s="25"/>
      <c r="Q38" s="25"/>
    </row>
    <row r="39" spans="3:19" ht="10.199999999999999" x14ac:dyDescent="0.2">
      <c r="M39" s="49" t="str">
        <f>IF(Beginpagina!L47=0,"",Beginpagina!L47)</f>
        <v/>
      </c>
      <c r="N39" s="25"/>
      <c r="O39" s="25"/>
      <c r="P39" s="25"/>
    </row>
    <row r="40" spans="3:19" ht="10.199999999999999" x14ac:dyDescent="0.2">
      <c r="N40" s="25"/>
      <c r="O40" s="25"/>
      <c r="P40" s="25"/>
    </row>
    <row r="41" spans="3:19" ht="10.199999999999999" x14ac:dyDescent="0.2"/>
    <row r="42" spans="3:19" ht="10.199999999999999" x14ac:dyDescent="0.2"/>
    <row r="43" spans="3:19" ht="10.199999999999999" x14ac:dyDescent="0.2"/>
    <row r="44" spans="3:19" ht="10.199999999999999" x14ac:dyDescent="0.2"/>
    <row r="45" spans="3:19" ht="10.199999999999999" x14ac:dyDescent="0.2"/>
    <row r="46" spans="3:19" ht="10.199999999999999" x14ac:dyDescent="0.2"/>
    <row r="47" spans="3:19" ht="10.199999999999999" x14ac:dyDescent="0.2"/>
    <row r="48" spans="3:19" ht="10.199999999999999" x14ac:dyDescent="0.2"/>
    <row r="49" spans="1:17" ht="10.199999999999999" x14ac:dyDescent="0.2"/>
    <row r="50" spans="1:17" ht="10.199999999999999" x14ac:dyDescent="0.2"/>
    <row r="51" spans="1:17" ht="10.199999999999999" x14ac:dyDescent="0.2"/>
    <row r="52" spans="1:17" ht="10.199999999999999" x14ac:dyDescent="0.2"/>
    <row r="53" spans="1:17" ht="10.199999999999999" x14ac:dyDescent="0.2"/>
    <row r="54" spans="1:17" ht="10.199999999999999" x14ac:dyDescent="0.2"/>
    <row r="55" spans="1:17" ht="10.199999999999999" x14ac:dyDescent="0.2"/>
    <row r="56" spans="1:17" ht="10.199999999999999" x14ac:dyDescent="0.2"/>
    <row r="57" spans="1:17" ht="10.199999999999999" x14ac:dyDescent="0.2"/>
    <row r="58" spans="1:17" ht="10.199999999999999" x14ac:dyDescent="0.2"/>
    <row r="59" spans="1:17" ht="10.199999999999999" x14ac:dyDescent="0.2"/>
    <row r="60" spans="1:17" s="70" customFormat="1" ht="10.5" customHeight="1" thickBot="1" x14ac:dyDescent="0.25">
      <c r="A60" s="13"/>
      <c r="B60" s="13"/>
      <c r="C60" s="25"/>
      <c r="D60" s="25"/>
      <c r="E60" s="25"/>
      <c r="F60" s="25"/>
      <c r="G60" s="25"/>
      <c r="H60" s="25"/>
      <c r="I60" s="25"/>
      <c r="J60" s="25"/>
      <c r="K60" s="25"/>
      <c r="L60" s="25"/>
      <c r="M60" s="25"/>
      <c r="N60" s="3"/>
      <c r="O60" s="3"/>
      <c r="P60" s="3"/>
      <c r="Q60" s="3"/>
    </row>
    <row r="61" spans="1:17" ht="18" customHeight="1" x14ac:dyDescent="0.2">
      <c r="C61" s="56" t="str">
        <f>CONCATENATE("Subsidieaanvraag voor ",Beginpagina!$D$7)</f>
        <v>Subsidieaanvraag voor Paragraaf 3.6 Lokale energie-initiatieven 4.0</v>
      </c>
      <c r="D61" s="56"/>
      <c r="E61" s="56"/>
      <c r="F61" s="56"/>
      <c r="G61" s="56"/>
      <c r="H61" s="57"/>
      <c r="I61" s="57"/>
      <c r="J61" s="57"/>
      <c r="K61" s="57"/>
      <c r="L61" s="57"/>
      <c r="M61" s="57"/>
      <c r="N61" s="57"/>
      <c r="O61" s="57"/>
      <c r="P61" s="67" t="s">
        <v>25</v>
      </c>
      <c r="Q61" s="13"/>
    </row>
    <row r="62" spans="1:17" ht="10.5" customHeight="1" x14ac:dyDescent="0.2">
      <c r="A62" s="68"/>
      <c r="B62" s="68"/>
      <c r="C62" s="68"/>
      <c r="D62" s="68"/>
      <c r="E62" s="68"/>
      <c r="F62" s="68"/>
      <c r="G62" s="68"/>
      <c r="H62" s="68"/>
      <c r="I62" s="68"/>
      <c r="J62" s="68"/>
      <c r="K62" s="68"/>
      <c r="L62" s="68"/>
      <c r="M62" s="68"/>
      <c r="N62" s="68"/>
      <c r="O62" s="68"/>
      <c r="P62" s="68"/>
      <c r="Q62" s="68"/>
    </row>
    <row r="63" spans="1:17" ht="10.5" customHeight="1" x14ac:dyDescent="0.2">
      <c r="A63" s="68"/>
      <c r="B63" s="68"/>
      <c r="C63" s="68"/>
      <c r="D63" s="68"/>
      <c r="E63" s="68"/>
      <c r="F63" s="68"/>
      <c r="G63" s="68"/>
      <c r="H63" s="68"/>
      <c r="I63" s="68"/>
      <c r="J63" s="68"/>
      <c r="K63" s="68"/>
      <c r="L63" s="68"/>
      <c r="M63" s="68"/>
      <c r="N63" s="68"/>
      <c r="O63" s="68"/>
      <c r="P63" s="68"/>
      <c r="Q63" s="68"/>
    </row>
    <row r="64" spans="1:17" ht="10.5" customHeight="1" x14ac:dyDescent="0.2">
      <c r="A64" s="68"/>
      <c r="B64" s="68"/>
      <c r="C64" s="68"/>
      <c r="D64" s="68"/>
      <c r="E64" s="68"/>
      <c r="F64" s="68"/>
      <c r="G64" s="68"/>
      <c r="H64" s="68"/>
      <c r="I64" s="68"/>
      <c r="J64" s="68"/>
      <c r="K64" s="68"/>
      <c r="L64" s="68"/>
      <c r="M64" s="68"/>
      <c r="N64" s="68"/>
      <c r="O64" s="68"/>
      <c r="P64" s="68"/>
      <c r="Q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199999999999999" x14ac:dyDescent="0.2"/>
  </sheetData>
  <sheetProtection deleteRows="0"/>
  <mergeCells count="22">
    <mergeCell ref="C34:J38"/>
    <mergeCell ref="L26:M26"/>
    <mergeCell ref="L27:M27"/>
    <mergeCell ref="L28:M28"/>
    <mergeCell ref="L29:M29"/>
    <mergeCell ref="L30:M30"/>
    <mergeCell ref="D28:K28"/>
    <mergeCell ref="D29:K29"/>
    <mergeCell ref="O27:P27"/>
    <mergeCell ref="C22:L22"/>
    <mergeCell ref="M22:O22"/>
    <mergeCell ref="O30:P30"/>
    <mergeCell ref="D30:K30"/>
    <mergeCell ref="D26:K26"/>
    <mergeCell ref="D27:K27"/>
    <mergeCell ref="O28:P28"/>
    <mergeCell ref="O29:P29"/>
    <mergeCell ref="C21:K21"/>
    <mergeCell ref="L25:M25"/>
    <mergeCell ref="O25:P25"/>
    <mergeCell ref="O26:P26"/>
    <mergeCell ref="C24:O24"/>
  </mergeCells>
  <conditionalFormatting sqref="K16:K20">
    <cfRule type="expression" dxfId="270" priority="17">
      <formula>$D16="IKT Tarief"</formula>
    </cfRule>
  </conditionalFormatting>
  <conditionalFormatting sqref="M34:P38">
    <cfRule type="expression" dxfId="269" priority="13">
      <formula>$M34&lt;&gt;""</formula>
    </cfRule>
  </conditionalFormatting>
  <conditionalFormatting sqref="C26:K30 N26:P30">
    <cfRule type="expression" dxfId="268" priority="11">
      <formula>$C26&lt;&gt;""</formula>
    </cfRule>
  </conditionalFormatting>
  <conditionalFormatting sqref="O26:P29">
    <cfRule type="expression" dxfId="267" priority="7">
      <formula>$O26&lt;0</formula>
    </cfRule>
  </conditionalFormatting>
  <conditionalFormatting sqref="O30:P30">
    <cfRule type="expression" dxfId="266" priority="5">
      <formula>$O30&lt;0</formula>
    </cfRule>
  </conditionalFormatting>
  <conditionalFormatting sqref="L26:M30">
    <cfRule type="expression" dxfId="265" priority="2">
      <formula>$C26&lt;&gt;""</formula>
    </cfRule>
  </conditionalFormatting>
  <conditionalFormatting sqref="L26:M30">
    <cfRule type="expression" dxfId="264" priority="3">
      <formula>$J26&gt;$M26</formula>
    </cfRule>
  </conditionalFormatting>
  <conditionalFormatting sqref="F16:F20">
    <cfRule type="expression" dxfId="263" priority="1">
      <formula>$D16="Var. Loonk. + Opslag"</formula>
    </cfRule>
  </conditionalFormatting>
  <dataValidations xWindow="546" yWindow="584" count="19">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$C$31</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type="decimal" allowBlank="1" showInputMessage="1" showErrorMessage="1" error="Maximale percentage indirecte is 40%" promptTitle="Indirecte kosten" prompt="Dit zijn (overhead) kosten die indirect van toepassing zijn op de betreffende medewerker. De kosten worden maximaal voor 40% vergoed." sqref="H16:H20" xr:uid="{00000000-0002-0000-0100-000003000000}">
      <formula1>0</formula1>
      <formula2>0.4</formula2>
    </dataValidation>
    <dataValidation allowBlank="1" showInputMessage="1" showErrorMessage="1" promptTitle="Uurtarief" sqref="M15" xr:uid="{00000000-0002-0000-0100-000004000000}"/>
    <dataValidation type="custom" allowBlank="1" showInputMessage="1" showErrorMessage="1" error="A.u.b. niet wijzigen in de grijze cellen" sqref="L16:L20" xr:uid="{00000000-0002-0000-0100-000006000000}">
      <formula1>FALSE</formula1>
    </dataValidation>
    <dataValidation type="custom" allowBlank="1" showInputMessage="1" showErrorMessage="1" error="Hier a.u.b. geen wijzigingen" sqref="A54 Q15:Q61 K93 N9 M6 O5 L22 C6 C10 B93 C5 A93 P93 P94 P95 P96 P97 L23 P99 A1 A2 A3 A4 A5 A6 A7 A8 A9 A10 A11 A12 A13 A14 A15 A16 A17 A18 A19 A20 A21 A22 A23 A24 A25 A26 A27 A28 A29 A30 A31 A32 A33 A34 A35 A36 A37 A38 A39 A40 A41 A42 A43 A44 A45 A46 A47 A48 A49 A50 A51 A52 A53 B54 A55 A56 A57 A58 A59 A60 A61 A75 A76 A77 A78 A79 A80 A81 A82 A83 A84 A85 A86 A87 A88 A89 A90 A91 A92 A94 A95 A96 A97 A98 A99 A100 B1 B2 B3 B4 B5 B6 B7 B8 B9 B10 B11 B12 B13 B14 B15 B16 B17 B18 B19 B20 B21 B22 B23 B24 B25 B26 B27 B28 B29 B30 B31 B32 B33 B34 B35 B36 B37 B38 B39 B40 B41 B42 B43 B44 B45 B46 B47 B48 B49 B50 B51 B52 B53 C54 B55 B56 B57 B58 B59 B60 B61 B75 B76 B77 B78 B79 B80 B81 B82 B83 B84 B85 B86 B87 B88 B89 B90 B91 B92 C93 B94 B95 B96 B97 B98 B99 B100 C1 C2 C3 C4 C13 D5 D6 C7 C8 C9 D10 C11 C12 C14 C21 C22 C23 C24 C26 C27 C28 C29 C30 C31 C32 C33 C34 C35 C36 C37 C38 C39 C40 C41 C42 C43 C44 C45 C46 C47 C48 C49 C50 C51 C52 C53 D54 C55 C56 C57 C58 C59 C60 C61 C75 C76 C77 C78 C79 C80 C81 C82 C83 C84 C85 C86 C87 C88 C89 C90 C91 C92 D93 C94 C95 C96 C97 C98 C99 C100 D1 D2 D3 D4 D13 E5 E6 D7 D8 D9 E10 D11 D12 D14 D21 D22 D23 D24 D26 D27 D28 D29 D30 D31 D32 D33 D34 D35 D36 D37 D38 D39 D40 D41 D42 D43 D44 D45 D46 D47 D48 D49 D50 D51 D52 D53 E54 D55 D56 D57 D58 D59 D60 D61 D75 D76 D77 D78 D79 D80 D81 D82 D83 D84 D85 D86 D87 D88 D89 D90 D91 D92 E93 D94 D95 D96 D97 D98 D99 D100 E1 E2 E3 E4 E13 F5 F6 E7 E8 E9 F10 E11 E12 E14 E21 E22 E23 E24 E26 E27 E28 E29 E30 E31 E32 E33 E34 E35 E36 E37 E38 E39 E40 E41 E42 E43 E44 E45 E46 E47 E48 E49 E50 E51 E52 E53 F54 E55 E56 E57 E58 E59 E60 E61 E75 E76 E77 E78 E79 E80 E81 E82 E83 E84 E85 E86 E87 E88 E89 E90 E91 E92 F93 E94 E95 E96 E97 E98 E99 E100 F1 F2 F3 F4 F13 G6 G7 F7 F8 F9 G11 F11 F12 F14 F21 F22 F23 F24 F26 F27 F28 F29 F30 F31 F32 F33 F34 F35 F36 F37 F38 F39 F40 F41 F42 F43 F44 F45 F46 F47 F48 F49 F50 F51 F52 F53 G54 F55 F56 F57 F58 F59 F60 F61 F75 F76 F77 F78 F79 F80 F81 F82 F83 F84 F85 F86 F87 F88 F89 F90 F91 F92 G93 F94 F95 F96 F97 F98 F99 F100 G1 G2 G3 G4 G5 H6 H7 G8 G9 G10 H11 G12 G13 G14 G21 G22 G23 G24 G26 G27 G28 G29 G30 G31 G32 G33 G34 G35 G36 G37 G38 G39 G40 G41 G42 G43 G44 G45 G46 G47 G48 G49 G50 G51 G52 G53 H54 G55 G56 G57 G58 G59 G60 G61 G75 G76 G77 G78 G79 G80 G81 G82 G83 G84 G85 G86 G87 G88 G89 G90 G91 G92 H93 G94 G95 G96 G97 G98 G99 G100 H1 H2 H3 H4 H5 I6 I7 H8 H9 H10 I11 H12 H13 H14 H21 H22 H23 H24 H26 H27 H28 H29 H30 H31 H32 H33 H34 H35 H36 H37 H38 H39 H40 H41 H42 H43 H44 H45 H46 H47 H48 H49 H50 H51 H52 H53 I54 H55 H56 H57 H58 H59 H60 H61 H75 H76 H77 H78 H79 H80 H81 H82 H83 H84 H85 H86 H87 H88 H89 H90 H91 H92 I93 H94 H95 H96 H97 H98 H99 H100 I1 I2 I3 I4 I5 J6 J7 I8 I9 I10 J11 I12 I13 I14 I21 I22 I23 I24 I26 I27 I28 I29 I30 I31 I32 I33 I34 I35 I36 I37 I38 I39 I40 I41 I42 I43 I44 I45 I46 I47 I48 I49 I50 I51 I52 I53 J54 I55 I56 I57 I58 I59 I60 I61 I75 I76 I77 I78 I79 I80 I81 I82 I83 I84 I85 I86 I87 I88 I89 I90 I91 I92 J93 I94 I95 I96 I97 I98 I99 I100 J1 J2 J3 J4 J5 K6 K7 J8 J9 J10 K11 J12 J13 J14 J21 J22 J23 J24 J26 J27 J28 J29 J30 J31 J32 J33 J34 J35 J36 J37 J38 J39 J40 J41 J42 J43 J44 J45 J46 J47 J48 J49 J50 J51 J52 J53 K54 J55 J56 J57 J58 J59 J60 J61 J75 J76 J77 J78 J79 J80 J81 J82 J83 J84 J85 J86 J87 J88 J89 J90 J91 J92 J94 J95 J96 J97 J98 J99 J100 K1 K2 K3 K4 K5 L5 L6 K8 K9 K10 K12 K13 K14 K21 K22 K23 K24 K26 K27 K28 K29 K30 K31 K32 K33 K34 K35 K36 K37 K38 K39 K40 K41 K42 K43 K44 K45 K46 K47 K48 K49 K50 K51 K52 K53 L54 K55 K56 K57 K58 K59 K60 K61 K75 K76 K77 K78 K79 K80 K81 K82 K83 K84 K85 K86 K87 K88 K89 K90 K91 K92 L93 K94 K95 K96 K97 K98 K99 K100 L1 L2 L3 L4 M5 L7 L8 L9 L10 L11 L12 L14 L21 M22 P84 P85 P86 P87 P88 L29 L30 L31 L32 L33 L34 L35 L36 L37 L38 L39 L40 L41 L42 L43 L44 L45 L46 L47 L48 L49 L50 L51 L52 L53 M54 L55 L56 L57 L58 L59 L60 L61 L75 L76 L77 L78 L79 L80 L81 L82 L83 L84 L85 L86 L87 L88 L89 L90 L91 L92 M93 L94 L95 L96 L97 L98 L99 L100 M1 M2 M3 M4 N5 N6 M7 M8 M9 M10 M11 M12 M14 P89 P90 P91 P92 P98 M29 M30 M31 M32 M33 M34 M35 M36 M37 M38 M39 M40 M41 M42 M43 M44 M45 M46 M47 M48 M49 M50 M51 M52 M53 N54 M55 M56 M57 M58 M59 M60 M61 M75 M76 M77 M78 M79 M80 M81 M82 M83 M84 M85 M86 M87 M88 M89 M90 M91 M92 N93 M94 M95 M96 M97 M98 M99 M100 N1 N2 N3 N4 O6 O8 N7 N8 O11 N10 N11 N12 N14 N22 N23 N24 N26 N27 N28 N29 N30 N31 N32 N33 N34 N35 N36 N37 N38 N39 N40 N41 N42 N43 N44 N45 N46 N47 N48 N49 N50 N51 N52 N53 O54 N55 N56 N57 N58 N59 N60 N61 N75 N76 N77 N78 N79 N80 N81 N82 N83 N84 N85 N86 N87 N88 N89 N90 N91 N92 O93 N94 N95 N96 N97 N98 N99 N100 O1 O2 O3 O4 N13 P5 P6 O7 P7 O9 O10 P10 O12 O13 O14 O21 O22 O23 O24 O26 O27 O28 O29 O30 O31 O32 O33 O34 O35 O36 O37 O38 O39 O40 O41 O42 O43 O44 O45 O46 O47 O48 O49 O50 O51 O52 O53 P54 O55 O56 O57 O58 O59 O60 O61 O75 O76 O77 O78 O79 O80 O81 O82 O83 O84 O85 O86 O87 O88 O89 O90 O91 O92 Q1:Q12 O94 O95 O96 O97 O98 O99 O100 P1 P2 P3 P4 Q13 Q14 P8 P9 P11 P12 P13 P14 P22 P23 P24 P26 P27 P28 P29 P30 P31 P32 P33 P34 P35 P36 P37 P38 P39 P40 P41 P42 P43 P44 P45 P46 P47 P48 P49 P50 P51 P52 P53 Q75:Q100 P55 P56 P57 P58 P59 P60 P61 P75 P76 P77 P78 P79 P80 P81 P82 P83 M23 L24 L26 L27 L28 M24 M26 M27 M28 P100" xr:uid="{00000000-0002-0000-0100-000007000000}">
      <formula1>FALSE</formula1>
    </dataValidation>
    <dataValidation type="custom" allowBlank="1" showInputMessage="1" showErrorMessage="1" sqref="M21 P16:P21 O16:O20" xr:uid="{00000000-0002-0000-0100-000008000000}">
      <formula1>FALSE</formula1>
    </dataValidation>
    <dataValidation allowBlank="1" showInputMessage="1" showErrorMessage="1" error="Hier a.u.b. geen wijzigingen" sqref="L13:M13"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prompt="Dit zijn (overhead) kosten die indirect van toepassing zijn op de betreffende medewerker. De vergoeding betreft maximaal 40%." sqref="G15" xr:uid="{00000000-0002-0000-0100-00000C000000}"/>
    <dataValidation allowBlank="1" showInputMessage="1" showErrorMessage="1" promptTitle="Indirecte kosten" prompt="Dit zijn (overhead) kosten die indirect van toepassing zijn op de betreffende medewerker. De kosten worden maximaal voor 40% vergoed." sqref="H15" xr:uid="{00000000-0002-0000-0100-00000D000000}"/>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00000000-0002-0000-0100-00000E000000}">
      <formula1>FALSE</formula1>
    </dataValidation>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00000000-0002-0000-0100-00000F000000}">
      <formula1>FALSE</formula1>
    </dataValidation>
    <dataValidation allowBlank="1" showInputMessage="1" showErrorMessage="1" promptTitle="Uurtarief" prompt="Dit uurtarief is berekend door het bruto jaarloon te delen door 1836, met vervolgens een opslag van 50% met een maximum van € 130,- per uur" sqref="J15" xr:uid="{00000000-0002-0000-0100-000010000000}"/>
    <dataValidation type="decimal" allowBlank="1" showInputMessage="1" showErrorMessage="1" error="Het IKT tarief is gemaximaliseerd op 130 euro" sqref="K16:K20" xr:uid="{F137C2C0-3454-4C3A-930A-DB47EA7F5FEB}">
      <formula1>0</formula1>
      <formula2>130</formula2>
    </dataValidation>
    <dataValidation allowBlank="1" showInputMessage="1" showErrorMessage="1" promptTitle="Indirecte kosten" prompt="Dit uurtarief is berekend door het bruto jaarloon te delen door 1836, met vervolgens een opslag van 50%" sqref="I15" xr:uid="{733A353A-AE4F-45A7-B201-ADDD37FC0AED}"/>
    <dataValidation allowBlank="1" showInputMessage="1" showErrorMessage="1" promptTitle="Uurtarief" prompt="€ 40,-" sqref="L15" xr:uid="{98B8580C-A0B2-429F-91A1-482E9960F851}"/>
  </dataValidations>
  <pageMargins left="0.7" right="0.7" top="0.75" bottom="0.75" header="0.3" footer="0.3"/>
  <pageSetup paperSize="9" scale="77" fitToHeight="0" orientation="landscape" r:id="rId1"/>
  <ignoredErrors>
    <ignoredError sqref="Q15:Q20 O16:P20 M17 M18 M19 M20" listDataValidation="1"/>
    <ignoredError sqref="L1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0" id="{EA93CBED-C05F-4D84-A7AF-D83B14CFCF3E}">
            <xm:f>'(Loon)kosten derden'!L51 &lt;&gt; ""</xm:f>
            <x14:dxf>
              <fill>
                <patternFill>
                  <bgColor rgb="FFE7F5FF"/>
                </patternFill>
              </fill>
            </x14:dxf>
          </x14:cfRule>
          <xm:sqref>M39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89"/>
  <sheetViews>
    <sheetView showGridLines="0" zoomScaleNormal="100" workbookViewId="0">
      <selection activeCell="C16" sqref="C16"/>
    </sheetView>
  </sheetViews>
  <sheetFormatPr defaultColWidth="9.125" defaultRowHeight="0" customHeight="1" zeroHeight="1" x14ac:dyDescent="0.2"/>
  <cols>
    <col min="1" max="2" width="2.875" style="3" customWidth="1"/>
    <col min="3" max="3" width="12.25" style="25" customWidth="1"/>
    <col min="4" max="5" width="12.125" style="25" customWidth="1"/>
    <col min="6" max="6" width="9.25" style="25" customWidth="1"/>
    <col min="7" max="8" width="11.125" style="25" customWidth="1"/>
    <col min="9" max="9" width="12.125" style="25" customWidth="1"/>
    <col min="10" max="10" width="9.25" style="25" customWidth="1"/>
    <col min="11" max="11" width="12.125" style="25" customWidth="1"/>
    <col min="12" max="13" width="10.125" style="25" customWidth="1"/>
    <col min="14" max="15" width="3.625" style="3"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H2" s="42"/>
      <c r="I2" s="42"/>
      <c r="J2" s="42"/>
      <c r="K2" s="42"/>
      <c r="O2" s="2"/>
      <c r="P2" s="69"/>
      <c r="Q2" s="69"/>
      <c r="R2" s="69"/>
      <c r="S2" s="69"/>
    </row>
    <row r="3" spans="1:19" ht="10.199999999999999" x14ac:dyDescent="0.2">
      <c r="A3" s="2"/>
      <c r="B3" s="2"/>
      <c r="C3" s="43"/>
      <c r="D3" s="43"/>
      <c r="E3" s="43"/>
      <c r="F3" s="43"/>
      <c r="G3" s="43"/>
      <c r="H3" s="42"/>
      <c r="I3" s="42"/>
      <c r="J3" s="42"/>
      <c r="K3" s="42"/>
      <c r="O3" s="2"/>
      <c r="P3" s="69"/>
      <c r="Q3" s="69"/>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0.199999999999999" x14ac:dyDescent="0.2">
      <c r="C6" s="42"/>
      <c r="D6" s="42"/>
      <c r="E6" s="42"/>
      <c r="F6" s="42"/>
      <c r="G6" s="42"/>
      <c r="H6" s="42"/>
      <c r="I6" s="42"/>
      <c r="J6" s="42"/>
      <c r="K6" s="42"/>
    </row>
    <row r="7" spans="1:19" ht="10.199999999999999" x14ac:dyDescent="0.2">
      <c r="C7" s="42"/>
      <c r="D7" s="64" t="s">
        <v>115</v>
      </c>
      <c r="E7" s="42"/>
      <c r="F7" s="42"/>
      <c r="G7" s="42"/>
      <c r="H7" s="42"/>
      <c r="I7" s="42"/>
      <c r="J7" s="42"/>
      <c r="K7" s="42"/>
    </row>
    <row r="8" spans="1:19" ht="10.199999999999999" x14ac:dyDescent="0.2">
      <c r="C8" s="42"/>
      <c r="D8" s="64"/>
      <c r="E8" s="42"/>
      <c r="F8" s="42"/>
      <c r="G8" s="42"/>
      <c r="H8" s="42"/>
      <c r="I8" s="42"/>
      <c r="J8" s="42"/>
      <c r="K8" s="42"/>
    </row>
    <row r="9" spans="1:19" ht="10.199999999999999" x14ac:dyDescent="0.2">
      <c r="C9" s="42"/>
      <c r="D9" s="42"/>
      <c r="E9" s="42"/>
      <c r="F9" s="42"/>
      <c r="G9" s="42"/>
      <c r="H9" s="42"/>
      <c r="I9" s="42"/>
      <c r="J9" s="42"/>
      <c r="K9" s="42"/>
    </row>
    <row r="10" spans="1:19" ht="16.2" x14ac:dyDescent="0.3">
      <c r="C10" s="46" t="s">
        <v>34</v>
      </c>
      <c r="D10" s="46"/>
      <c r="E10" s="46"/>
      <c r="F10" s="46"/>
      <c r="G10" s="46"/>
      <c r="H10" s="42"/>
      <c r="I10" s="42"/>
      <c r="J10" s="42"/>
      <c r="K10" s="42"/>
    </row>
    <row r="11" spans="1:19" ht="16.2" x14ac:dyDescent="0.3">
      <c r="C11" s="118" t="s">
        <v>88</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216" t="s">
        <v>86</v>
      </c>
      <c r="D13" s="216"/>
      <c r="E13" s="216"/>
      <c r="F13" s="216"/>
      <c r="G13" s="42"/>
      <c r="H13" s="42"/>
      <c r="I13" s="178" t="s">
        <v>98</v>
      </c>
      <c r="J13" s="176"/>
      <c r="K13" s="177"/>
    </row>
    <row r="14" spans="1:19" s="70" customFormat="1" ht="7.5" customHeight="1" x14ac:dyDescent="0.2">
      <c r="A14" s="13"/>
      <c r="B14" s="13"/>
      <c r="C14" s="47"/>
      <c r="D14" s="47"/>
      <c r="E14" s="47"/>
      <c r="F14" s="47"/>
      <c r="G14" s="47"/>
      <c r="H14" s="48"/>
      <c r="I14" s="48"/>
      <c r="J14" s="48"/>
      <c r="K14" s="48"/>
      <c r="L14" s="48"/>
      <c r="M14" s="48"/>
      <c r="N14" s="14"/>
      <c r="O14" s="13"/>
    </row>
    <row r="15" spans="1:19" ht="54" customHeight="1" x14ac:dyDescent="0.2">
      <c r="A15" s="113" t="s">
        <v>47</v>
      </c>
      <c r="B15" s="113" t="s">
        <v>64</v>
      </c>
      <c r="C15" s="72" t="s">
        <v>107</v>
      </c>
      <c r="D15" s="72" t="s">
        <v>10</v>
      </c>
      <c r="E15" s="72" t="s">
        <v>6</v>
      </c>
      <c r="F15" s="72" t="s">
        <v>7</v>
      </c>
      <c r="G15" s="72" t="s">
        <v>55</v>
      </c>
      <c r="H15" s="72" t="s">
        <v>27</v>
      </c>
      <c r="I15" s="72" t="s">
        <v>95</v>
      </c>
      <c r="J15" s="72" t="s">
        <v>5</v>
      </c>
      <c r="K15" s="72" t="s">
        <v>96</v>
      </c>
      <c r="L15" s="102" t="s">
        <v>36</v>
      </c>
      <c r="M15" s="102" t="s">
        <v>46</v>
      </c>
      <c r="N15" s="113" t="s">
        <v>65</v>
      </c>
      <c r="O15" s="113" t="s">
        <v>66</v>
      </c>
    </row>
    <row r="16" spans="1:19" s="150" customFormat="1" ht="22.5" customHeight="1" x14ac:dyDescent="0.2">
      <c r="A16" s="149"/>
      <c r="B16" s="149"/>
      <c r="C16" s="206"/>
      <c r="D16" s="207"/>
      <c r="E16" s="207"/>
      <c r="F16" s="206"/>
      <c r="G16" s="208"/>
      <c r="H16" s="209"/>
      <c r="I16" s="145" t="str">
        <f>IF(tblLoonkostenDerden[[#This Row],[Uurtarief ex. btw]]*(1+tblLoonkostenDerden[[#This Row],[Btw %]])=0,"",tblLoonkostenDerden[[#This Row],[Uurtarief ex. btw]]*(1+tblLoonkostenDerden[[#This Row],[Btw %]])*tblLoonkostenDerden[[#This Row],[Uren]])</f>
        <v/>
      </c>
      <c r="J16" s="146" t="str">
        <f>IFERROR(VLOOKUP(tblLoonkostenDerden[[#This Row],[Activiteit (klik op de cel voor info en vul deze altijd in)]],Activiteiten[[Activiteit Nr.]:[Subsidie %]],3,0),"")</f>
        <v/>
      </c>
      <c r="K16" s="145" t="str">
        <f>IFERROR(IF(tblLoonkostenDerden[[#This Row],[Uurtarief ex. btw]]&gt;130,tblLoonkostenDerden[[#This Row],[Uren]]*130*(1+tblLoonkostenDerden[[#This Row],[Btw %]])*tblLoonkostenDerden[[#This Row],[Subsidie %]],tblLoonkostenDerden[[#This Row],[Kosten totaal]]*tblLoonkostenDerden[[#This Row],[Subsidie %]]), "")</f>
        <v/>
      </c>
      <c r="L16" s="149"/>
      <c r="M16" s="149"/>
      <c r="N16" s="149"/>
      <c r="O16" s="149"/>
      <c r="Q16" s="175" t="str">
        <f>IF(Beginpagina!$E$17="Ja","","6%")</f>
        <v>6%</v>
      </c>
    </row>
    <row r="17" spans="1:19" s="150" customFormat="1" ht="22.5" customHeight="1" x14ac:dyDescent="0.2">
      <c r="A17" s="149"/>
      <c r="B17" s="149"/>
      <c r="C17" s="206"/>
      <c r="D17" s="207"/>
      <c r="E17" s="207"/>
      <c r="F17" s="206"/>
      <c r="G17" s="208"/>
      <c r="H17" s="207"/>
      <c r="I17" s="145" t="str">
        <f>IF(tblLoonkostenDerden[[#This Row],[Uurtarief ex. btw]]*(1+tblLoonkostenDerden[[#This Row],[Btw %]])=0,"",tblLoonkostenDerden[[#This Row],[Uurtarief ex. btw]]*(1+tblLoonkostenDerden[[#This Row],[Btw %]])*tblLoonkostenDerden[[#This Row],[Uren]])</f>
        <v/>
      </c>
      <c r="J17" s="146" t="str">
        <f>IFERROR(VLOOKUP(tblLoonkostenDerden[[#This Row],[Activiteit (klik op de cel voor info en vul deze altijd in)]],Activiteiten[[Activiteit Nr.]:[Subsidie %]],3,0),"")</f>
        <v/>
      </c>
      <c r="K17" s="145" t="str">
        <f>IFERROR(IF(tblLoonkostenDerden[[#This Row],[Uurtarief ex. btw]]&gt;130,tblLoonkostenDerden[[#This Row],[Uren]]*130*(1+tblLoonkostenDerden[[#This Row],[Btw %]])*tblLoonkostenDerden[[#This Row],[Subsidie %]],tblLoonkostenDerden[[#This Row],[Kosten totaal]]*tblLoonkostenDerden[[#This Row],[Subsidie %]]), "")</f>
        <v/>
      </c>
      <c r="L17" s="149"/>
      <c r="M17" s="149"/>
      <c r="N17" s="149"/>
      <c r="O17" s="149"/>
      <c r="Q17" s="175" t="str">
        <f>IF(Beginpagina!$E$17="Ja","","9%")</f>
        <v>9%</v>
      </c>
    </row>
    <row r="18" spans="1:19" s="150" customFormat="1" ht="22.5" customHeight="1" x14ac:dyDescent="0.2">
      <c r="A18" s="149"/>
      <c r="B18" s="149"/>
      <c r="C18" s="206"/>
      <c r="D18" s="207"/>
      <c r="E18" s="207"/>
      <c r="F18" s="206"/>
      <c r="G18" s="208"/>
      <c r="H18" s="207"/>
      <c r="I18" s="145" t="str">
        <f>IF(tblLoonkostenDerden[[#This Row],[Uurtarief ex. btw]]*(1+tblLoonkostenDerden[[#This Row],[Btw %]])=0,"",tblLoonkostenDerden[[#This Row],[Uurtarief ex. btw]]*(1+tblLoonkostenDerden[[#This Row],[Btw %]])*tblLoonkostenDerden[[#This Row],[Uren]])</f>
        <v/>
      </c>
      <c r="J18" s="146" t="str">
        <f>IFERROR(VLOOKUP(tblLoonkostenDerden[[#This Row],[Activiteit (klik op de cel voor info en vul deze altijd in)]],Activiteiten[[Activiteit Nr.]:[Subsidie %]],3,0),"")</f>
        <v/>
      </c>
      <c r="K18" s="145" t="str">
        <f>IFERROR(IF(tblLoonkostenDerden[[#This Row],[Uurtarief ex. btw]]&gt;130,tblLoonkostenDerden[[#This Row],[Uren]]*130*(1+tblLoonkostenDerden[[#This Row],[Btw %]])*tblLoonkostenDerden[[#This Row],[Subsidie %]],tblLoonkostenDerden[[#This Row],[Kosten totaal]]*tblLoonkostenDerden[[#This Row],[Subsidie %]]), "")</f>
        <v/>
      </c>
      <c r="L18" s="149"/>
      <c r="M18" s="149"/>
      <c r="N18" s="149"/>
      <c r="O18" s="149"/>
      <c r="Q18" s="175" t="str">
        <f>IF(Beginpagina!$E$17="Ja","","21%")</f>
        <v>21%</v>
      </c>
    </row>
    <row r="19" spans="1:19" s="150" customFormat="1" ht="22.5" customHeight="1" x14ac:dyDescent="0.2">
      <c r="A19" s="149"/>
      <c r="B19" s="149"/>
      <c r="C19" s="210"/>
      <c r="D19" s="211"/>
      <c r="E19" s="211"/>
      <c r="F19" s="210"/>
      <c r="G19" s="212"/>
      <c r="H19" s="207"/>
      <c r="I19" s="147" t="str">
        <f>IF(tblLoonkostenDerden[[#This Row],[Uurtarief ex. btw]]*(1+tblLoonkostenDerden[[#This Row],[Btw %]])=0,"",tblLoonkostenDerden[[#This Row],[Uurtarief ex. btw]]*(1+tblLoonkostenDerden[[#This Row],[Btw %]])*tblLoonkostenDerden[[#This Row],[Uren]])</f>
        <v/>
      </c>
      <c r="J19" s="148" t="str">
        <f>IFERROR(VLOOKUP(tblLoonkostenDerden[[#This Row],[Activiteit (klik op de cel voor info en vul deze altijd in)]],Activiteiten[[Activiteit Nr.]:[Subsidie %]],3,0),"")</f>
        <v/>
      </c>
      <c r="K19" s="145" t="str">
        <f>IFERROR(IF(tblLoonkostenDerden[[#This Row],[Uurtarief ex. btw]]&gt;130,tblLoonkostenDerden[[#This Row],[Uren]]*130*(1+tblLoonkostenDerden[[#This Row],[Btw %]])*tblLoonkostenDerden[[#This Row],[Subsidie %]],tblLoonkostenDerden[[#This Row],[Kosten totaal]]*tblLoonkostenDerden[[#This Row],[Subsidie %]]), "")</f>
        <v/>
      </c>
      <c r="L19" s="151"/>
      <c r="M19" s="149"/>
      <c r="N19" s="149"/>
      <c r="O19" s="149"/>
    </row>
    <row r="20" spans="1:19" s="150" customFormat="1" ht="22.5" customHeight="1" thickBot="1" x14ac:dyDescent="0.25">
      <c r="A20" s="149"/>
      <c r="B20" s="149"/>
      <c r="C20" s="210"/>
      <c r="D20" s="211"/>
      <c r="E20" s="211"/>
      <c r="F20" s="210"/>
      <c r="G20" s="212"/>
      <c r="H20" s="207"/>
      <c r="I20" s="147" t="str">
        <f>IF(tblLoonkostenDerden[[#This Row],[Uurtarief ex. btw]]*(1+tblLoonkostenDerden[[#This Row],[Btw %]])=0,"",tblLoonkostenDerden[[#This Row],[Uurtarief ex. btw]]*(1+tblLoonkostenDerden[[#This Row],[Btw %]])*tblLoonkostenDerden[[#This Row],[Uren]])</f>
        <v/>
      </c>
      <c r="J20" s="148" t="str">
        <f>IFERROR(VLOOKUP(tblLoonkostenDerden[[#This Row],[Activiteit (klik op de cel voor info en vul deze altijd in)]],Activiteiten[[Activiteit Nr.]:[Subsidie %]],3,0),"")</f>
        <v/>
      </c>
      <c r="K20" s="145" t="str">
        <f>IFERROR(IF(tblLoonkostenDerden[[#This Row],[Uurtarief ex. btw]]&gt;130,tblLoonkostenDerden[[#This Row],[Uren]]*130*(1+tblLoonkostenDerden[[#This Row],[Btw %]])*tblLoonkostenDerden[[#This Row],[Subsidie %]],tblLoonkostenDerden[[#This Row],[Kosten totaal]]*tblLoonkostenDerden[[#This Row],[Subsidie %]]), "")</f>
        <v/>
      </c>
      <c r="L20" s="151"/>
      <c r="M20" s="149"/>
      <c r="N20" s="149"/>
      <c r="O20" s="149"/>
    </row>
    <row r="21" spans="1:19" ht="26.25" customHeight="1" thickTop="1" x14ac:dyDescent="0.2">
      <c r="B21" s="96"/>
      <c r="C21" s="257" t="s">
        <v>58</v>
      </c>
      <c r="D21" s="257"/>
      <c r="E21" s="257"/>
      <c r="F21" s="257"/>
      <c r="G21" s="257"/>
      <c r="H21" s="188" t="s">
        <v>103</v>
      </c>
      <c r="I21" s="165">
        <f>SUM(tblLoonkostenDerden[Kosten totaal])</f>
        <v>0</v>
      </c>
      <c r="J21" s="52"/>
      <c r="K21" s="165">
        <f>SUM(tblLoonkostenDerden[Subsidie aanvraag])</f>
        <v>0</v>
      </c>
      <c r="L21" s="152"/>
      <c r="M21" s="97"/>
      <c r="N21" s="90"/>
      <c r="O21" s="80"/>
      <c r="P21" s="98"/>
    </row>
    <row r="22" spans="1:19" ht="26.25" customHeight="1" x14ac:dyDescent="0.2">
      <c r="C22" s="257"/>
      <c r="D22" s="257"/>
      <c r="E22" s="257"/>
      <c r="F22" s="257"/>
      <c r="G22" s="257"/>
      <c r="H22" s="172"/>
      <c r="I22" s="51"/>
      <c r="J22" s="51"/>
      <c r="K22" s="51"/>
      <c r="L22" s="51"/>
      <c r="M22" s="51"/>
      <c r="N22" s="2"/>
      <c r="O22" s="2"/>
      <c r="P22" s="69"/>
      <c r="Q22" s="69"/>
      <c r="R22" s="69"/>
      <c r="S22" s="69"/>
    </row>
    <row r="23" spans="1:19" ht="16.2" x14ac:dyDescent="0.3">
      <c r="C23" s="46" t="s">
        <v>33</v>
      </c>
      <c r="D23" s="46"/>
      <c r="E23" s="46"/>
      <c r="F23" s="46"/>
      <c r="G23" s="46"/>
      <c r="H23" s="42"/>
      <c r="I23" s="42"/>
      <c r="J23" s="42"/>
      <c r="K23" s="42"/>
    </row>
    <row r="24" spans="1:19" ht="16.2" x14ac:dyDescent="0.3">
      <c r="C24" s="118" t="s">
        <v>72</v>
      </c>
      <c r="D24" s="46"/>
      <c r="E24" s="46"/>
      <c r="F24" s="46"/>
      <c r="G24" s="46"/>
      <c r="H24" s="42"/>
      <c r="I24" s="42"/>
      <c r="J24" s="42"/>
      <c r="K24" s="42"/>
    </row>
    <row r="25" spans="1:19" ht="12.6" x14ac:dyDescent="0.2">
      <c r="C25" s="26"/>
      <c r="D25" s="14"/>
      <c r="E25" s="42"/>
      <c r="F25" s="42"/>
      <c r="G25" s="42"/>
      <c r="H25" s="42"/>
      <c r="I25" s="42"/>
      <c r="J25" s="42"/>
      <c r="K25" s="42"/>
    </row>
    <row r="26" spans="1:19" ht="10.199999999999999" x14ac:dyDescent="0.2">
      <c r="C26" s="216" t="s">
        <v>86</v>
      </c>
      <c r="D26" s="216"/>
      <c r="E26" s="216"/>
      <c r="F26" s="216"/>
      <c r="G26" s="42"/>
      <c r="H26" s="42"/>
      <c r="I26" s="178" t="s">
        <v>98</v>
      </c>
      <c r="J26" s="176"/>
      <c r="K26" s="177"/>
    </row>
    <row r="27" spans="1:19" s="70" customFormat="1" ht="7.5" customHeight="1" x14ac:dyDescent="0.2">
      <c r="A27" s="13"/>
      <c r="B27" s="13"/>
      <c r="C27" s="47"/>
      <c r="D27" s="47"/>
      <c r="E27" s="47"/>
      <c r="F27" s="47"/>
      <c r="G27" s="47"/>
      <c r="H27" s="48"/>
      <c r="I27" s="48"/>
      <c r="J27" s="48"/>
      <c r="K27" s="48"/>
      <c r="L27" s="48"/>
      <c r="M27" s="48"/>
      <c r="N27" s="14"/>
      <c r="O27" s="13"/>
    </row>
    <row r="28" spans="1:19" ht="54.75" customHeight="1" x14ac:dyDescent="0.2">
      <c r="A28" s="113" t="s">
        <v>47</v>
      </c>
      <c r="B28" s="113" t="s">
        <v>64</v>
      </c>
      <c r="C28" s="72" t="s">
        <v>107</v>
      </c>
      <c r="D28" s="72" t="s">
        <v>52</v>
      </c>
      <c r="E28" s="72" t="s">
        <v>51</v>
      </c>
      <c r="F28" s="72" t="s">
        <v>11</v>
      </c>
      <c r="G28" s="72" t="s">
        <v>50</v>
      </c>
      <c r="H28" s="72" t="s">
        <v>27</v>
      </c>
      <c r="I28" s="72" t="s">
        <v>95</v>
      </c>
      <c r="J28" s="72" t="s">
        <v>5</v>
      </c>
      <c r="K28" s="72" t="s">
        <v>96</v>
      </c>
      <c r="L28" s="113" t="s">
        <v>36</v>
      </c>
      <c r="M28" s="113" t="s">
        <v>46</v>
      </c>
      <c r="N28" s="113" t="s">
        <v>65</v>
      </c>
      <c r="O28" s="113" t="s">
        <v>66</v>
      </c>
    </row>
    <row r="29" spans="1:19" ht="22.5" customHeight="1" x14ac:dyDescent="0.2">
      <c r="A29" s="110"/>
      <c r="B29" s="110"/>
      <c r="C29" s="199"/>
      <c r="D29" s="200"/>
      <c r="E29" s="213"/>
      <c r="F29" s="199"/>
      <c r="G29" s="214"/>
      <c r="H29" s="213"/>
      <c r="I29"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29" s="73" t="str">
        <f>IFERROR(VLOOKUP(tblOverigeKostenDerden[[#This Row],[Activiteit (klik op de cel voor info en vul deze altijd in)]],Activiteiten[[Activiteit Nr.]:[Subsidie %]],3,0),"")</f>
        <v/>
      </c>
      <c r="K29" s="94" t="str">
        <f>IFERROR(((tblOverigeKostenDerden[[#This Row],[Kosten totaal]])*tblOverigeKostenDerden[[#This Row],[Subsidie %]]), "")</f>
        <v/>
      </c>
      <c r="L29" s="110"/>
      <c r="M29" s="110"/>
      <c r="N29" s="110"/>
      <c r="O29" s="110"/>
    </row>
    <row r="30" spans="1:19" ht="22.5" customHeight="1" x14ac:dyDescent="0.2">
      <c r="A30" s="110"/>
      <c r="B30" s="110"/>
      <c r="C30" s="199"/>
      <c r="D30" s="200"/>
      <c r="E30" s="213"/>
      <c r="F30" s="199"/>
      <c r="G30" s="214"/>
      <c r="H30" s="215"/>
      <c r="I30"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0" s="73" t="str">
        <f>IFERROR(VLOOKUP(tblOverigeKostenDerden[[#This Row],[Activiteit (klik op de cel voor info en vul deze altijd in)]],Activiteiten[[Activiteit Nr.]:[Subsidie %]],3,0),"")</f>
        <v/>
      </c>
      <c r="K30" s="94" t="str">
        <f>IFERROR(((tblOverigeKostenDerden[[#This Row],[Kosten totaal]])*tblOverigeKostenDerden[[#This Row],[Subsidie %]]), "")</f>
        <v/>
      </c>
      <c r="L30" s="110"/>
      <c r="M30" s="110"/>
      <c r="N30" s="110"/>
      <c r="O30" s="110"/>
    </row>
    <row r="31" spans="1:19" ht="22.5" customHeight="1" x14ac:dyDescent="0.2">
      <c r="A31" s="110"/>
      <c r="B31" s="110"/>
      <c r="C31" s="199"/>
      <c r="D31" s="200"/>
      <c r="E31" s="213"/>
      <c r="F31" s="199"/>
      <c r="G31" s="214"/>
      <c r="H31" s="213"/>
      <c r="I31"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1" s="73" t="str">
        <f>IFERROR(VLOOKUP(tblOverigeKostenDerden[[#This Row],[Activiteit (klik op de cel voor info en vul deze altijd in)]],Activiteiten[[Activiteit Nr.]:[Subsidie %]],3,0),"")</f>
        <v/>
      </c>
      <c r="K31" s="94" t="str">
        <f>IFERROR(((tblOverigeKostenDerden[[#This Row],[Kosten totaal]])*tblOverigeKostenDerden[[#This Row],[Subsidie %]]), "")</f>
        <v/>
      </c>
      <c r="L31" s="110"/>
      <c r="M31" s="110"/>
      <c r="N31" s="110"/>
      <c r="O31" s="110"/>
    </row>
    <row r="32" spans="1:19" ht="22.5" customHeight="1" x14ac:dyDescent="0.2">
      <c r="A32" s="110"/>
      <c r="B32" s="110"/>
      <c r="C32" s="199"/>
      <c r="D32" s="200"/>
      <c r="E32" s="213"/>
      <c r="F32" s="199"/>
      <c r="G32" s="214"/>
      <c r="H32" s="213"/>
      <c r="I32"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2" s="78" t="str">
        <f>IFERROR(VLOOKUP(tblOverigeKostenDerden[[#This Row],[Activiteit (klik op de cel voor info en vul deze altijd in)]],Activiteiten[[Activiteit Nr.]:[Subsidie %]],3,0),"")</f>
        <v/>
      </c>
      <c r="K32" s="94" t="str">
        <f>IFERROR(((tblOverigeKostenDerden[[#This Row],[Kosten totaal]])*tblOverigeKostenDerden[[#This Row],[Subsidie %]]), "")</f>
        <v/>
      </c>
      <c r="L32" s="111"/>
      <c r="M32" s="111"/>
      <c r="N32" s="111"/>
      <c r="O32" s="110"/>
    </row>
    <row r="33" spans="1:19" ht="22.5" customHeight="1" thickBot="1" x14ac:dyDescent="0.25">
      <c r="A33" s="110"/>
      <c r="B33" s="110"/>
      <c r="C33" s="199"/>
      <c r="D33" s="200"/>
      <c r="E33" s="213"/>
      <c r="F33" s="199"/>
      <c r="G33" s="214"/>
      <c r="H33" s="213"/>
      <c r="I33"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3" s="78" t="str">
        <f>IFERROR(VLOOKUP(tblOverigeKostenDerden[[#This Row],[Activiteit (klik op de cel voor info en vul deze altijd in)]],Activiteiten[[Activiteit Nr.]:[Subsidie %]],3,0),"")</f>
        <v/>
      </c>
      <c r="K33" s="94" t="str">
        <f>IFERROR(((tblOverigeKostenDerden[[#This Row],[Kosten totaal]])*tblOverigeKostenDerden[[#This Row],[Subsidie %]]), "")</f>
        <v/>
      </c>
      <c r="L33" s="111"/>
      <c r="M33" s="111"/>
      <c r="N33" s="111"/>
      <c r="O33" s="110"/>
    </row>
    <row r="34" spans="1:19" ht="26.25" customHeight="1" thickTop="1" x14ac:dyDescent="0.2">
      <c r="A34" s="25"/>
      <c r="B34" s="25"/>
      <c r="C34" s="257" t="s">
        <v>58</v>
      </c>
      <c r="D34" s="257"/>
      <c r="E34" s="257"/>
      <c r="F34" s="257"/>
      <c r="G34" s="257"/>
      <c r="H34" s="188" t="s">
        <v>103</v>
      </c>
      <c r="I34" s="165">
        <f>SUM(tblOverigeKostenDerden[Kosten totaal])</f>
        <v>0</v>
      </c>
      <c r="J34" s="52"/>
      <c r="K34" s="165">
        <f>SUM(tblOverigeKostenDerden[Subsidie aanvraag])</f>
        <v>0</v>
      </c>
      <c r="L34" s="152"/>
      <c r="M34" s="52"/>
      <c r="N34" s="52"/>
      <c r="O34" s="25"/>
    </row>
    <row r="35" spans="1:19" ht="30" customHeight="1" x14ac:dyDescent="0.2">
      <c r="C35" s="257"/>
      <c r="D35" s="257"/>
      <c r="E35" s="257"/>
      <c r="F35" s="257"/>
      <c r="G35" s="257"/>
      <c r="H35" s="164"/>
      <c r="I35" s="51"/>
      <c r="J35" s="51"/>
      <c r="K35" s="51"/>
      <c r="L35" s="51"/>
      <c r="M35" s="51"/>
      <c r="N35" s="2"/>
      <c r="O35" s="2"/>
      <c r="P35" s="69"/>
      <c r="Q35" s="69"/>
      <c r="R35" s="69"/>
      <c r="S35" s="69"/>
    </row>
    <row r="36" spans="1:19" ht="12" customHeight="1" x14ac:dyDescent="0.2">
      <c r="C36" s="26" t="s">
        <v>26</v>
      </c>
      <c r="D36" s="14"/>
      <c r="E36" s="42"/>
      <c r="F36" s="42"/>
      <c r="G36" s="42"/>
      <c r="H36" s="42"/>
      <c r="I36" s="42"/>
      <c r="J36" s="42"/>
      <c r="M36" s="3"/>
    </row>
    <row r="37" spans="1:19" ht="25.5" customHeight="1" x14ac:dyDescent="0.2">
      <c r="C37" s="252" t="s">
        <v>91</v>
      </c>
      <c r="D37" s="252"/>
      <c r="E37" s="252"/>
      <c r="F37" s="252"/>
      <c r="G37" s="252"/>
      <c r="H37" s="252"/>
      <c r="I37" s="252"/>
      <c r="J37" s="252"/>
      <c r="K37" s="252"/>
      <c r="L37" s="252"/>
      <c r="M37" s="252"/>
      <c r="N37" s="252"/>
    </row>
    <row r="38" spans="1:19" ht="21" customHeight="1" x14ac:dyDescent="0.2">
      <c r="C38" s="63" t="s">
        <v>37</v>
      </c>
      <c r="D38" s="63" t="s">
        <v>0</v>
      </c>
      <c r="E38" s="63"/>
      <c r="F38" s="63"/>
      <c r="G38" s="63"/>
      <c r="H38" s="63"/>
      <c r="I38" s="250" t="s">
        <v>102</v>
      </c>
      <c r="J38" s="250"/>
      <c r="K38" s="82" t="s">
        <v>48</v>
      </c>
      <c r="L38" s="250" t="s">
        <v>49</v>
      </c>
      <c r="M38" s="250"/>
      <c r="N38" s="25"/>
    </row>
    <row r="39" spans="1:19" ht="18" customHeight="1" x14ac:dyDescent="0.2">
      <c r="C39" s="49">
        <f>IF(Beginpagina!$C$22=0,"",Beginpagina!$C$22)</f>
        <v>1</v>
      </c>
      <c r="D39" s="259" t="str">
        <f>IF(Beginpagina!D22=0,"",Beginpagina!D22)</f>
        <v xml:space="preserve">Het inrichten en oprichten van een LEI </v>
      </c>
      <c r="E39" s="259"/>
      <c r="F39" s="259"/>
      <c r="G39" s="259"/>
      <c r="H39" s="259"/>
      <c r="I39" s="251">
        <f>SUMIF(tblPersoneelskosten[Activiteit (klik op de cel en vul deze altijd in)],C39,tblPersoneelskosten[Subsidie aanvraag])+SUMIF(tblLoonkostenDerden[Activiteit (klik op de cel voor info en vul deze altijd in)],C39,tblLoonkostenDerden[Subsidie aanvraag])+SUMIF(tblOverigeKostenDerden[Activiteit (klik op de cel voor info en vul deze altijd in)],C39,tblOverigeKostenDerden[Subsidie aanvraag])+SUMIF(tblVrijwilligersvergoeding[Activiteit (klik op de cel voor info en vul deze altijd in)],C39,tblVrijwilligersvergoeding[Subsidie aanvraag])+SUMIF(tblOverigeKostenVrijwilligers[Activiteit (klik op de cel voor info en vul deze altijd in)],C39,tblOverigeKostenVrijwilligers[Subsidie aanvraag])+SUMIF(tblMachinesApparatuur[Activiteit (klik op de cel voor info en vul deze altijd in)],C39,tblMachinesApparatuur[Subsidie aanvraag])</f>
        <v>0</v>
      </c>
      <c r="J39" s="251"/>
      <c r="K39" s="91">
        <f>_xlfn.IFNA(VLOOKUP(C39,Beginpagina!$C$21:$G$26,5,0),"")</f>
        <v>2500</v>
      </c>
      <c r="L39" s="251">
        <f t="shared" ref="L39:L41" si="0">IFERROR((IF(K39&gt;I39,K39-I39,0)),"")</f>
        <v>2500</v>
      </c>
      <c r="M39" s="251"/>
      <c r="N39" s="25"/>
    </row>
    <row r="40" spans="1:19" ht="18" customHeight="1" x14ac:dyDescent="0.2">
      <c r="C40" s="49">
        <f>IF(Beginpagina!$C$23=0,"",Beginpagina!$C$23)</f>
        <v>2</v>
      </c>
      <c r="D40" s="259" t="str">
        <f>IF(Beginpagina!D23=0,"",Beginpagina!D23)</f>
        <v xml:space="preserve">Uitvoeren van een energiebesparingsproject/eenvoudige energiebesparingsmaatregelen </v>
      </c>
      <c r="E40" s="259"/>
      <c r="F40" s="259"/>
      <c r="G40" s="259"/>
      <c r="H40" s="259"/>
      <c r="I40" s="251">
        <f>SUMIF(tblPersoneelskosten[Activiteit (klik op de cel en vul deze altijd in)],C40,tblPersoneelskosten[Subsidie aanvraag])+SUMIF(tblLoonkostenDerden[Activiteit (klik op de cel voor info en vul deze altijd in)],C40,tblLoonkostenDerden[Subsidie aanvraag])+SUMIF(tblOverigeKostenDerden[Activiteit (klik op de cel voor info en vul deze altijd in)],C40,tblOverigeKostenDerden[Subsidie aanvraag])+SUMIF(tblVrijwilligersvergoeding[Activiteit (klik op de cel voor info en vul deze altijd in)],C40,tblVrijwilligersvergoeding[Subsidie aanvraag])+SUMIF(tblOverigeKostenVrijwilligers[Activiteit (klik op de cel voor info en vul deze altijd in)],C40,tblOverigeKostenVrijwilligers[Subsidie aanvraag])+SUMIF(tblMachinesApparatuur[Activiteit (klik op de cel voor info en vul deze altijd in)],C40,tblMachinesApparatuur[Subsidie aanvraag])</f>
        <v>0</v>
      </c>
      <c r="J40" s="251"/>
      <c r="K40" s="91">
        <f>_xlfn.IFNA(VLOOKUP(C40,Beginpagina!$C$21:$G$26,5,0),"")</f>
        <v>10000</v>
      </c>
      <c r="L40" s="251">
        <f t="shared" si="0"/>
        <v>10000</v>
      </c>
      <c r="M40" s="251"/>
      <c r="N40" s="25"/>
    </row>
    <row r="41" spans="1:19" ht="18" customHeight="1" x14ac:dyDescent="0.2">
      <c r="C41" s="49">
        <f>IF(Beginpagina!$C$24=0,"",Beginpagina!$C$24)</f>
        <v>3</v>
      </c>
      <c r="D41" s="259" t="str">
        <f>IF(Beginpagina!D24=0,"",Beginpagina!D24)</f>
        <v xml:space="preserve">Opleiden van vrijwilligers tot energiefixer of energiebesparingscoach </v>
      </c>
      <c r="E41" s="259"/>
      <c r="F41" s="259"/>
      <c r="G41" s="259"/>
      <c r="H41" s="259"/>
      <c r="I41" s="251">
        <f>SUMIF(tblPersoneelskosten[Activiteit (klik op de cel en vul deze altijd in)],C41,tblPersoneelskosten[Subsidie aanvraag])+SUMIF(tblLoonkostenDerden[Activiteit (klik op de cel voor info en vul deze altijd in)],C41,tblLoonkostenDerden[Subsidie aanvraag])+SUMIF(tblOverigeKostenDerden[Activiteit (klik op de cel voor info en vul deze altijd in)],C41,tblOverigeKostenDerden[Subsidie aanvraag])+SUMIF(tblVrijwilligersvergoeding[Activiteit (klik op de cel voor info en vul deze altijd in)],C41,tblVrijwilligersvergoeding[Subsidie aanvraag])+SUMIF(tblOverigeKostenVrijwilligers[Activiteit (klik op de cel voor info en vul deze altijd in)],C41,tblOverigeKostenVrijwilligers[Subsidie aanvraag])+SUMIF(tblMachinesApparatuur[Activiteit (klik op de cel voor info en vul deze altijd in)],C41,tblMachinesApparatuur[Subsidie aanvraag])</f>
        <v>0</v>
      </c>
      <c r="J41" s="251"/>
      <c r="K41" s="91">
        <f>_xlfn.IFNA(VLOOKUP(C41,Beginpagina!$C$21:$G$26,5,0),"")</f>
        <v>2500</v>
      </c>
      <c r="L41" s="251">
        <f t="shared" si="0"/>
        <v>2500</v>
      </c>
      <c r="M41" s="251"/>
      <c r="N41" s="25"/>
    </row>
    <row r="42" spans="1:19" ht="18" customHeight="1" x14ac:dyDescent="0.2">
      <c r="C42" s="49">
        <f>IF(Beginpagina!$C$25=0,"",Beginpagina!$C$25)</f>
        <v>4</v>
      </c>
      <c r="D42" s="259" t="str">
        <f>IF(Beginpagina!D25=0,"",Beginpagina!D25)</f>
        <v xml:space="preserve">Het voorbereiden van een energieopwekproject </v>
      </c>
      <c r="E42" s="259"/>
      <c r="F42" s="259"/>
      <c r="G42" s="259"/>
      <c r="H42" s="259"/>
      <c r="I42" s="251">
        <f>SUMIF(tblPersoneelskosten[Activiteit (klik op de cel en vul deze altijd in)],C42,tblPersoneelskosten[Subsidie aanvraag])+SUMIF(tblLoonkostenDerden[Activiteit (klik op de cel voor info en vul deze altijd in)],C42,tblLoonkostenDerden[Subsidie aanvraag])+SUMIF(tblOverigeKostenDerden[Activiteit (klik op de cel voor info en vul deze altijd in)],C42,tblOverigeKostenDerden[Subsidie aanvraag])+SUMIF(tblVrijwilligersvergoeding[Activiteit (klik op de cel voor info en vul deze altijd in)],C42,tblVrijwilligersvergoeding[Subsidie aanvraag])+SUMIF(tblOverigeKostenVrijwilligers[Activiteit (klik op de cel voor info en vul deze altijd in)],C42,tblOverigeKostenVrijwilligers[Subsidie aanvraag])+SUMIF(tblMachinesApparatuur[Activiteit (klik op de cel voor info en vul deze altijd in)],C42,tblMachinesApparatuur[Subsidie aanvraag])</f>
        <v>0</v>
      </c>
      <c r="J42" s="251"/>
      <c r="K42" s="91">
        <f>_xlfn.IFNA(VLOOKUP(C42,Beginpagina!$C$21:$G$26,5,0),"")</f>
        <v>5000</v>
      </c>
      <c r="L42" s="251">
        <f>IFERROR((IF(K42&gt;I42,K42-I42,0)),"")</f>
        <v>5000</v>
      </c>
      <c r="M42" s="251"/>
      <c r="N42" s="25"/>
    </row>
    <row r="43" spans="1:19" ht="18" customHeight="1" x14ac:dyDescent="0.2">
      <c r="C43" s="49">
        <f>IF(Beginpagina!$C$26=0,"",Beginpagina!$C$26)</f>
        <v>5</v>
      </c>
      <c r="D43" s="260" t="str">
        <f>IF(Beginpagina!D27=0,"",Beginpagina!D27)</f>
        <v/>
      </c>
      <c r="E43" s="260"/>
      <c r="F43" s="260"/>
      <c r="G43" s="260"/>
      <c r="H43" s="260"/>
      <c r="I43" s="251">
        <f>SUMIF(tblPersoneelskosten[Activiteit (klik op de cel en vul deze altijd in)],C43,tblPersoneelskosten[Subsidie aanvraag])+SUMIF(tblLoonkostenDerden[Activiteit (klik op de cel voor info en vul deze altijd in)],C43,tblLoonkostenDerden[Subsidie aanvraag])+SUMIF(tblOverigeKostenDerden[Activiteit (klik op de cel voor info en vul deze altijd in)],C43,tblOverigeKostenDerden[Subsidie aanvraag])+SUMIF(tblVrijwilligersvergoeding[Activiteit (klik op de cel voor info en vul deze altijd in)],C43,tblVrijwilligersvergoeding[Subsidie aanvraag])+SUMIF(tblOverigeKostenVrijwilligers[Activiteit (klik op de cel voor info en vul deze altijd in)],C43,tblOverigeKostenVrijwilligers[Subsidie aanvraag])+SUMIF(tblMachinesApparatuur[Activiteit (klik op de cel voor info en vul deze altijd in)],C43,tblMachinesApparatuur[Subsidie aanvraag])</f>
        <v>0</v>
      </c>
      <c r="J43" s="251"/>
      <c r="K43" s="91">
        <f>_xlfn.IFNA(VLOOKUP(C43,Beginpagina!$C$21:$G$26,5,0),"")</f>
        <v>10000</v>
      </c>
      <c r="L43" s="251" t="str">
        <f>IFERROR((IF(K43&gt;#REF!,K43-#REF!,0)),"")</f>
        <v/>
      </c>
      <c r="M43" s="251"/>
      <c r="N43" s="156"/>
      <c r="O43" s="25"/>
    </row>
    <row r="44" spans="1:19" ht="7.5" customHeight="1" x14ac:dyDescent="0.2">
      <c r="C44" s="81">
        <f>(MAX(Activiteiten[[#All],[Activiteit Nr.]])+1)</f>
        <v>6</v>
      </c>
      <c r="D44" s="42"/>
      <c r="E44" s="42"/>
      <c r="F44" s="42"/>
      <c r="G44" s="42"/>
      <c r="H44" s="42"/>
      <c r="I44" s="42"/>
      <c r="J44" s="42"/>
      <c r="M44" s="21"/>
    </row>
    <row r="45" spans="1:19" ht="18" customHeight="1" x14ac:dyDescent="0.3">
      <c r="C45" s="53" t="s">
        <v>31</v>
      </c>
      <c r="D45" s="53"/>
      <c r="E45" s="53"/>
      <c r="F45" s="53"/>
      <c r="G45" s="53"/>
      <c r="H45" s="54"/>
      <c r="I45" s="54"/>
      <c r="J45" s="54"/>
      <c r="K45" s="54"/>
      <c r="L45" s="42" t="s">
        <v>41</v>
      </c>
      <c r="M45" s="42"/>
      <c r="N45" s="33"/>
    </row>
    <row r="46" spans="1:19" ht="10.5" customHeight="1" x14ac:dyDescent="0.2">
      <c r="C46" s="54"/>
      <c r="D46" s="54"/>
      <c r="E46" s="54"/>
      <c r="F46" s="54"/>
      <c r="G46" s="54"/>
      <c r="H46" s="54"/>
      <c r="I46" s="54"/>
      <c r="J46" s="54"/>
      <c r="K46" s="54"/>
      <c r="L46" s="42"/>
      <c r="M46" s="42"/>
    </row>
    <row r="47" spans="1:19" ht="10.5" customHeight="1" x14ac:dyDescent="0.2">
      <c r="C47" s="256" t="s">
        <v>84</v>
      </c>
      <c r="D47" s="256"/>
      <c r="E47" s="256"/>
      <c r="F47" s="256"/>
      <c r="G47" s="256"/>
      <c r="H47" s="256"/>
      <c r="I47" s="256"/>
      <c r="J47" s="256"/>
      <c r="K47" s="55"/>
      <c r="L47" s="55"/>
      <c r="M47" s="55"/>
    </row>
    <row r="48" spans="1:19" ht="11.4" x14ac:dyDescent="0.2">
      <c r="C48" s="256"/>
      <c r="D48" s="256"/>
      <c r="E48" s="256"/>
      <c r="F48" s="256"/>
      <c r="G48" s="256"/>
      <c r="H48" s="256"/>
      <c r="I48" s="256"/>
      <c r="J48" s="256"/>
      <c r="K48" s="55"/>
      <c r="L48" s="55"/>
      <c r="M48" s="55"/>
    </row>
    <row r="49" spans="3:10" ht="10.199999999999999" x14ac:dyDescent="0.2">
      <c r="C49" s="256"/>
      <c r="D49" s="256"/>
      <c r="E49" s="256"/>
      <c r="F49" s="256"/>
      <c r="G49" s="256"/>
      <c r="H49" s="256"/>
      <c r="I49" s="256"/>
      <c r="J49" s="256"/>
    </row>
    <row r="50" spans="3:10" ht="10.199999999999999" x14ac:dyDescent="0.2">
      <c r="C50" s="256"/>
      <c r="D50" s="256"/>
      <c r="E50" s="256"/>
      <c r="F50" s="256"/>
      <c r="G50" s="256"/>
      <c r="H50" s="256"/>
      <c r="I50" s="256"/>
      <c r="J50" s="256"/>
    </row>
    <row r="51" spans="3:10" ht="10.199999999999999" x14ac:dyDescent="0.2"/>
    <row r="52" spans="3:10" ht="10.199999999999999" x14ac:dyDescent="0.2"/>
    <row r="53" spans="3:10" ht="10.199999999999999" x14ac:dyDescent="0.2"/>
    <row r="54" spans="3:10" ht="10.199999999999999" x14ac:dyDescent="0.2"/>
    <row r="55" spans="3:10" ht="10.199999999999999" x14ac:dyDescent="0.2"/>
    <row r="56" spans="3:10" ht="10.199999999999999" x14ac:dyDescent="0.2"/>
    <row r="57" spans="3:10" ht="10.199999999999999" x14ac:dyDescent="0.2"/>
    <row r="58" spans="3:10" ht="10.199999999999999" x14ac:dyDescent="0.2"/>
    <row r="59" spans="3:10" ht="10.199999999999999" x14ac:dyDescent="0.2"/>
    <row r="60" spans="3:10" ht="10.199999999999999" x14ac:dyDescent="0.2"/>
    <row r="61" spans="3:10" ht="10.199999999999999" x14ac:dyDescent="0.2"/>
    <row r="62" spans="3:10" ht="10.199999999999999" x14ac:dyDescent="0.2"/>
    <row r="63" spans="3:10" ht="10.199999999999999" x14ac:dyDescent="0.2"/>
    <row r="64" spans="3:10" ht="10.199999999999999" x14ac:dyDescent="0.2"/>
    <row r="65" spans="1:15" ht="10.199999999999999" x14ac:dyDescent="0.2"/>
    <row r="66" spans="1:15" ht="10.199999999999999" x14ac:dyDescent="0.2"/>
    <row r="67" spans="1:15" ht="10.199999999999999" x14ac:dyDescent="0.2"/>
    <row r="68" spans="1:15" ht="10.199999999999999" x14ac:dyDescent="0.2"/>
    <row r="69" spans="1:15" ht="10.199999999999999" x14ac:dyDescent="0.2"/>
    <row r="70" spans="1:15" ht="10.199999999999999" x14ac:dyDescent="0.2"/>
    <row r="71" spans="1:15" s="70" customFormat="1" ht="10.5" customHeight="1" x14ac:dyDescent="0.2">
      <c r="A71" s="13"/>
      <c r="B71" s="13"/>
      <c r="C71" s="25"/>
      <c r="D71" s="25"/>
      <c r="E71" s="25"/>
      <c r="F71" s="25"/>
      <c r="G71" s="25"/>
      <c r="H71" s="25"/>
      <c r="I71" s="25"/>
      <c r="J71" s="25"/>
      <c r="K71" s="25"/>
      <c r="L71" s="25"/>
      <c r="M71" s="25"/>
      <c r="N71" s="37"/>
      <c r="O71" s="13"/>
    </row>
    <row r="72" spans="1:15" ht="10.5" customHeight="1" x14ac:dyDescent="0.2"/>
    <row r="73" spans="1:15" ht="10.5" customHeight="1" thickBot="1" x14ac:dyDescent="0.25"/>
    <row r="74" spans="1:15" ht="18" customHeight="1" x14ac:dyDescent="0.2">
      <c r="C74" s="56" t="str">
        <f>CONCATENATE("Subsidieaanvraag voor ",Beginpagina!$D$7)</f>
        <v>Subsidieaanvraag voor Paragraaf 3.6 Lokale energie-initiatieven 4.0</v>
      </c>
      <c r="D74" s="56"/>
      <c r="E74" s="56"/>
      <c r="F74" s="56"/>
      <c r="G74" s="56"/>
      <c r="H74" s="57"/>
      <c r="I74" s="57"/>
      <c r="J74" s="258" t="s">
        <v>25</v>
      </c>
      <c r="K74" s="258"/>
      <c r="L74" s="258"/>
      <c r="M74" s="258"/>
    </row>
    <row r="75" spans="1:15" ht="10.5" customHeight="1" x14ac:dyDescent="0.2">
      <c r="A75" s="68"/>
      <c r="B75" s="68"/>
      <c r="C75" s="68"/>
      <c r="D75" s="68"/>
      <c r="E75" s="68"/>
      <c r="F75" s="68"/>
      <c r="G75" s="68"/>
      <c r="H75" s="68"/>
      <c r="I75" s="68"/>
      <c r="J75" s="68"/>
      <c r="K75" s="68"/>
      <c r="L75" s="68"/>
      <c r="M75" s="68"/>
      <c r="N75" s="68"/>
      <c r="O75" s="68"/>
    </row>
    <row r="76" spans="1:15" ht="10.5" customHeight="1" x14ac:dyDescent="0.2">
      <c r="A76" s="68"/>
      <c r="B76" s="68"/>
      <c r="C76" s="68"/>
      <c r="D76" s="68"/>
      <c r="E76" s="68"/>
      <c r="F76" s="68"/>
      <c r="G76" s="68"/>
      <c r="H76" s="68"/>
      <c r="I76" s="68"/>
      <c r="J76" s="68"/>
      <c r="K76" s="68"/>
      <c r="L76" s="68"/>
      <c r="M76" s="68"/>
      <c r="N76" s="68"/>
      <c r="O76" s="68"/>
    </row>
    <row r="77" spans="1:15" ht="10.5" customHeight="1" x14ac:dyDescent="0.2">
      <c r="A77" s="68"/>
      <c r="B77" s="68"/>
      <c r="C77" s="68"/>
      <c r="D77" s="68"/>
      <c r="E77" s="68"/>
      <c r="F77" s="68"/>
      <c r="G77" s="68"/>
      <c r="H77" s="68"/>
      <c r="I77" s="68"/>
      <c r="J77" s="68"/>
      <c r="K77" s="68"/>
      <c r="L77" s="68"/>
      <c r="M77" s="68"/>
      <c r="N77" s="68"/>
      <c r="O77" s="68"/>
    </row>
    <row r="78" spans="1:15" ht="10.5" customHeight="1" x14ac:dyDescent="0.2">
      <c r="A78" s="68"/>
      <c r="B78" s="68"/>
      <c r="C78" s="68"/>
      <c r="D78" s="68"/>
      <c r="E78" s="68"/>
      <c r="F78" s="68"/>
      <c r="G78" s="68"/>
      <c r="H78" s="68"/>
      <c r="I78" s="68"/>
      <c r="J78" s="68"/>
      <c r="K78" s="68"/>
      <c r="L78" s="68"/>
      <c r="M78" s="68"/>
      <c r="N78" s="68"/>
      <c r="O78" s="68"/>
    </row>
    <row r="79" spans="1:15" ht="10.5" customHeight="1" x14ac:dyDescent="0.2">
      <c r="A79" s="68"/>
      <c r="B79" s="68"/>
      <c r="C79" s="68"/>
      <c r="D79" s="68"/>
      <c r="E79" s="68"/>
      <c r="F79" s="68"/>
      <c r="G79" s="68"/>
      <c r="H79" s="68"/>
      <c r="I79" s="68"/>
      <c r="J79" s="68"/>
      <c r="K79" s="68"/>
      <c r="L79" s="68"/>
      <c r="M79" s="68"/>
      <c r="N79" s="68"/>
      <c r="O79" s="68"/>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199999999999999" x14ac:dyDescent="0.2"/>
    <row r="89" s="68" customFormat="1" ht="10.5" customHeight="1" x14ac:dyDescent="0.2"/>
  </sheetData>
  <sheetProtection insertRows="0" deleteRows="0" sort="0" autoFilter="0" pivotTables="0"/>
  <mergeCells count="22">
    <mergeCell ref="C34:G35"/>
    <mergeCell ref="C21:G22"/>
    <mergeCell ref="C47:J50"/>
    <mergeCell ref="J74:M74"/>
    <mergeCell ref="L41:M41"/>
    <mergeCell ref="L42:M42"/>
    <mergeCell ref="D41:H41"/>
    <mergeCell ref="D42:H42"/>
    <mergeCell ref="L43:M43"/>
    <mergeCell ref="I43:J43"/>
    <mergeCell ref="D43:H43"/>
    <mergeCell ref="I41:J41"/>
    <mergeCell ref="I42:J42"/>
    <mergeCell ref="D39:H39"/>
    <mergeCell ref="D40:H40"/>
    <mergeCell ref="C37:N37"/>
    <mergeCell ref="I39:J39"/>
    <mergeCell ref="I40:J40"/>
    <mergeCell ref="L38:M38"/>
    <mergeCell ref="L39:M39"/>
    <mergeCell ref="L40:M40"/>
    <mergeCell ref="I38:J38"/>
  </mergeCells>
  <conditionalFormatting sqref="C39:M43">
    <cfRule type="expression" dxfId="228" priority="16">
      <formula>$C39&lt;&gt;""</formula>
    </cfRule>
  </conditionalFormatting>
  <conditionalFormatting sqref="L39:M43">
    <cfRule type="expression" dxfId="227" priority="9">
      <formula>$M39&lt;0</formula>
    </cfRule>
  </conditionalFormatting>
  <conditionalFormatting sqref="N43">
    <cfRule type="expression" dxfId="226" priority="7">
      <formula>$N43&lt;0</formula>
    </cfRule>
  </conditionalFormatting>
  <conditionalFormatting sqref="I39:J43">
    <cfRule type="expression" dxfId="225" priority="26">
      <formula>$I39&gt;$L39</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C$44</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67 N30 L20 L7 B93 K22 H13 G5 H7 L18 I35 C23 C12 C8 L5 G12 C11 C6 C5 A93 O93 O94 O95 O96 O97 I36 O99 A1 A2 A3 A4 A5 A6 A7 A8 A9 A10 A11 A12 A13 A14 A15 A16 A17 A18 A19 A20 A21 A22 A23 A24 A25 A26 A27 A28 A29 A30 A31 A32 A33 A34 A35 A36 A37 A38 A39 A40 A41 A42 A43 A44 A45 A46 A47 A48 A49 A50 A51 A52 A53 A54 A55 A56 A57 A58 A59 A60 A61 A62 A63 A64 A65 A66 B67 A68 A69 A70 A71 A72 A73 A74 A90 A91 A92 A94 A95 A96 A97 A98 A99 A100 B1 B2 B3 B4 B5 B6 B7 B8 B9 B10 B11 B12 B13 B14 B15 B16 B17 B18 B19 B20 B21 B22 B23 B24 B25 B26 B27 B28 B29 B30 B31 B32 B33 B34 B35 B36 B37 B38 B39 B40 B41 B42 B43 B44 B45 B46 B47 B48 B49 B50 B51 B52 B53 B54 B55 B56 B57 B58 B59 B60 B61 B62 B63 B64 B65 B66 C67 B68 B69 B70 B71 B72 B73 B74 B90 B91 B92 C93 B94 B95 B96 B97 B98 B99 B100 C1 C2 C3 C4 D5 C7 D8 C9 C10 D11 D12 C14 C21 C22 D23 C24 C25 C27 C34 C35 C36 C37 C39 C40 C41 C42 C43 C44 C45 C46 C47 C48 C49 C50 C51 C52 C53 C54 C55 C56 C57 C58 C59 C60 C61 C62 C63 C64 C65 C66 D67 C68 C69 C70 C71 C72 C73 C74 C90 C91 C92 D93 C94 C95 C96 C97 C98 C99 C100 D1 D2 D3 D4 E5 D6 D7 E8 D9 D10 E11 E12 D14 D21 D22 E23 D24 D25 D27 D34 D35 D36 D37 D39 D40 D41 D42 D43 D44 D45 D46 D47 D48 D49 D50 D51 D52 D53 D54 D55 D56 D57 D58 D59 D60 D61 D62 D63 D64 D65 D66 E67 D68 D69 D70 D71 D72 D73 D74 D90 D91 D92 E93 D94 D95 D96 D97 D98 D99 D100 E1 E2 E3 E4 F5 E6 E7 F8 E9 E10 F11 F12 E14 E21 E22 F23 E24 E25 E27 E34 E35 E36 E37 E39 E40 E41 E42 E43 E44 E45 E46 E47 E48 E49 E50 E51 E52 E53 E54 E55 E56 E57 E58 E59 E60 E61 E62 E63 E64 E65 E66 F67 E68 E69 E70 E71 E72 E73 E74 E90 E91 E92 F93 E94 E95 E96 E97 E98 E99 E100 F1 F2 F3 F4 G6 F6 F7 G9 F9 F10 G13 G14 F14 F21 F22 G24 F24 F25 F27 F34 F35 F36 F37 F39 F40 F41 F42 F43 F44 F45 F46 F47 F48 F49 F50 F51 F52 F53 F54 F55 F56 F57 F58 F59 F60 F61 F62 F63 F64 F65 F66 G67 F68 F69 F70 F71 F72 F73 F74 F90 F91 F92 G93 F94 F95 F96 F97 F98 F99 F100 G1 G2 G3 G4 C13:F13 H5 H6 G7 G8 G10 G11 C26:F26 H11 H12 G21 G22 G23 H23 G25 G26 G27 G34 G35 G36 G37 G39 G40 G41 G42 G43 G44 G45 G46 G47 G48 G49 G50 G51 G52 G53 G54 G55 G56 G57 G58 G59 G60 G61 G62 G63 G64 G65 G66 H67 G68 G69 G70 G71 G72 G73 G74 G90 G91 G92 H93 G94 G95 G96 G97 G98 G99 G100 H1 H2 H3 H4 I5 I6 H8 H9 H10 I10 I11 H14 H22 H24 H25 H26 H27 H35 H36 H37 H39 H40 H41 H42 H43 H44 H45 H46 H47 H48 H49 H50 H51 H52 H53 H54 H55 H56 H57 H58 H59 H60 H61 H62 H63 H64 H65 H66 I67 H68 H69 H70 H71 H72 H73 H74 H90 H91 H92 I93 H94 H95 H96 H97 H98 H99 H100 I1 I2 I3 I4 J5 J7 I7 I8 I9 J11 J14 I12 I14 I22 I23 I24 I25 I27 J35 O69 O70 O71 O72 O73 I42 I43 I44 I45 I46 I47 I48 I49 I50 I51 I52 I53 I54 I55 I56 I57 I58 I59 I60 I61 I62 I63 I64 I65 I66 J67 I68 I69 I70 I71 I72 I73 I74 I90 I91 I92 J93 I94 I95 I96 I97 I98 I99 I100 J1 J2 J3 J4 K5 J6 K6 J8 J9 J10 K10 J12 K11 J21 J22 J23 J24 J25 J27 J34 O74 O90 O91 O92 O98 J42 J43 J44 J45 J46 J47 J48 J49 J50 J51 J52 J53 J54 J55 J56 J57 J58 J59 J60 J61 J62 J63 J64 J65 J66 K67 J68 J69 J70 J71 J72 J73 J74 J90 J91 J92 K93 J94 J95 J96 J97 J98 J99 J100 K1 K2 K3 K4 L6 K7 K8 K9 L19 K12 K14 L30 K23 K24 K25 K27 K35 K36 K37 K39 K40 K41 K42 K43 K44 K45 K46 K47 K48 K49 K50 K51 K52 K53 K54 K55 K56 K57 K58 K59 K60 K61 K62 K63 K64 K65 K66 L67 K68 K69 K70 K71 K72 K73 K74 K90 K91 K92 L93 K94 K95 K96 K97 K98 K99 K100 L1 L2 L3 L4 K13 M5 M6 M7 L8 L9 L10 L11 L12 L13 L14 L15 L16 L17 K26 M18 M19 M20 L21 L22 L23 L24 L25 L26 L27 L28 L29 M30 L31 L32 L33 L34 L35 L36 L37 L39 L40 L41 L42 L43 L44 L45 L46 L47 L48 L49 L50 L51 L52 L53 L54 L55 L56 L57 L58 L59 L60 L61 L62 L63 L64 L65 L66 M67 L68 L69 L70 L71 L72 L73 L74 L90 L91 L92 M93 L94 L95 L96 L97 L98 L99 L100 M1 M2 M3 M4 N5 N6 N7 M8 M9 M10 M11 M12 M13 M14 M15 M16 M17 N18 N19 N20 M21 M22 M23 M24 M25 M26 M27 M28 M29 M31 M32 M33 M34 M35 M36 M37 M39 M40 M41 M42 M43 M44 M45 M46 M47 M48 M49 M50 M51 M52 M53 M54 M55 M56 M57 M58 M59 M60 M61 M62 M63 M64 M65 M66 N67 M68 M69 M70 M71 M72 M73 M74 M90 M91 M92 N93 M94 M95 M96 M97 M98 M99 M100 N1 N2 N3 N4 O5 O6 O7 N8 N9 N10 N11 N12 N13 N14 N15 N16 N17 O18 O19 O20 N21 N22 N23 N24 N25 N26 N27 N28 N29 O30 N31 N32 N33 N34 N35 N36 N37 N38 N39 N40 N41 N42 N43 N44 N45 N46 N47 N48 N49 N50 N51 N52 N53 N54 N55 N56 N57 N58 N59 N60 N61 N62 N63 N64 N65 N66 O67 N68 N69 N70 N71 N72 N73 N74 N90 N91 N92 N94 N95 N96 N97 N98 N99 N100 O1 O2 O3 O4 O8 O9 O10 O11 O12 O13 O14 O15 O16 O17 O21 O22 O23 O24 O25 O26 O27 O28 O29 O31 O32 O33 O34 O35 O36 O37 O38 O39 O40 O41 O42 O43 O44 O45 O46 O47 O48 O49 O50 O51 O52 O53 O54 O55 O56 O57 O58 O59 O60 O61 O62 O63 O64 O65 O66 O68 J36 I37 I39 I40 I41 J37 J39 J40 J41 O100"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$C$44</formula1>
    </dataValidation>
    <dataValidation allowBlank="1" showInputMessage="1" showErrorMessage="1" error="Hier a.u.b. geen wijzigingen" sqref="I13:J13 I26:J26"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I29:K33 I16:K20 K21 H21:I21 H34:I34 K34"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I29:K33" listDataValidation="1"/>
    <ignoredError sqref="I16:K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4"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3" id="{0856CA69-716B-4159-8C4F-362E16C7FDD6}">
            <xm:f>Beginpagina!$E$17="Ja"</xm:f>
            <x14:dxf>
              <font>
                <color rgb="FF005A9A"/>
              </font>
            </x14:dxf>
          </x14:cfRule>
          <xm:sqref>H15</xm:sqref>
        </x14:conditionalFormatting>
        <x14:conditionalFormatting xmlns:xm="http://schemas.microsoft.com/office/excel/2006/main">
          <x14:cfRule type="expression" priority="2"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125" defaultRowHeight="0" customHeight="1" zeroHeight="1" x14ac:dyDescent="0.2"/>
  <cols>
    <col min="1" max="2" width="2.875" style="3" customWidth="1"/>
    <col min="3" max="3" width="9.25" style="25" customWidth="1"/>
    <col min="4" max="5" width="12.125" style="25" customWidth="1"/>
    <col min="6" max="6" width="9.25" style="25" customWidth="1"/>
    <col min="7" max="7" width="10.75" style="25" customWidth="1"/>
    <col min="8" max="8" width="9.25" style="25" customWidth="1"/>
    <col min="9" max="9" width="10.75" style="25" customWidth="1"/>
    <col min="10" max="10" width="9.25" style="25" customWidth="1"/>
    <col min="11" max="11" width="10.75" style="25" customWidth="1"/>
    <col min="12" max="13" width="10.125" style="25" customWidth="1"/>
    <col min="14" max="14" width="1.375" style="3" customWidth="1"/>
    <col min="15" max="15" width="5.75" style="3"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H2" s="42"/>
      <c r="I2" s="42"/>
      <c r="J2" s="42"/>
      <c r="K2" s="42"/>
      <c r="O2" s="2"/>
      <c r="P2" s="69"/>
      <c r="Q2" s="69"/>
      <c r="R2" s="69"/>
      <c r="S2" s="69"/>
    </row>
    <row r="3" spans="1:19" ht="10.199999999999999" x14ac:dyDescent="0.2">
      <c r="A3" s="2"/>
      <c r="B3" s="2"/>
      <c r="C3" s="43"/>
      <c r="D3" s="43"/>
      <c r="E3" s="43"/>
      <c r="F3" s="43"/>
      <c r="G3" s="43"/>
      <c r="H3" s="42"/>
      <c r="I3" s="42"/>
      <c r="J3" s="42"/>
      <c r="K3" s="42"/>
      <c r="O3" s="2"/>
      <c r="P3" s="69"/>
      <c r="Q3" s="69"/>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0.199999999999999" x14ac:dyDescent="0.2">
      <c r="C6" s="42"/>
      <c r="D6" s="42"/>
      <c r="E6" s="42"/>
      <c r="F6" s="42"/>
      <c r="G6" s="42"/>
      <c r="H6" s="42"/>
      <c r="I6" s="42"/>
      <c r="J6" s="42"/>
      <c r="K6" s="42"/>
    </row>
    <row r="7" spans="1:19" ht="10.199999999999999" x14ac:dyDescent="0.2">
      <c r="C7" s="42"/>
      <c r="D7" s="64" t="s">
        <v>38</v>
      </c>
      <c r="E7" s="42"/>
      <c r="F7" s="42"/>
      <c r="G7" s="42"/>
      <c r="H7" s="42"/>
      <c r="I7" s="42"/>
      <c r="J7" s="42"/>
      <c r="K7" s="42"/>
    </row>
    <row r="8" spans="1:19" ht="10.199999999999999" x14ac:dyDescent="0.2">
      <c r="C8" s="42"/>
      <c r="D8" s="64"/>
      <c r="E8" s="42"/>
      <c r="F8" s="42"/>
      <c r="G8" s="42"/>
      <c r="H8" s="42"/>
      <c r="I8" s="42"/>
      <c r="J8" s="42"/>
      <c r="K8" s="42"/>
    </row>
    <row r="9" spans="1:19" ht="10.199999999999999" x14ac:dyDescent="0.2">
      <c r="C9" s="42"/>
      <c r="D9" s="42"/>
      <c r="E9" s="42"/>
      <c r="F9" s="42"/>
      <c r="G9" s="42"/>
      <c r="H9" s="42"/>
      <c r="I9" s="42"/>
      <c r="J9" s="42"/>
      <c r="K9" s="42"/>
    </row>
    <row r="10" spans="1:19" ht="16.2" x14ac:dyDescent="0.3">
      <c r="C10" s="46" t="s">
        <v>33</v>
      </c>
      <c r="D10" s="46"/>
      <c r="E10" s="46"/>
      <c r="F10" s="46"/>
      <c r="G10" s="46"/>
      <c r="H10" s="42"/>
      <c r="I10" s="42"/>
      <c r="J10" s="42"/>
      <c r="K10" s="42"/>
    </row>
    <row r="11" spans="1:19" ht="16.2" x14ac:dyDescent="0.3">
      <c r="C11" s="118" t="s">
        <v>72</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134"/>
      <c r="D13" s="119" t="s">
        <v>86</v>
      </c>
      <c r="E13" s="42"/>
      <c r="F13" s="42"/>
      <c r="G13" s="42"/>
      <c r="H13" s="42"/>
      <c r="I13" s="42"/>
      <c r="J13" s="135"/>
      <c r="K13" s="119" t="s">
        <v>81</v>
      </c>
    </row>
    <row r="14" spans="1:19" s="70" customFormat="1" ht="7.5" customHeight="1" x14ac:dyDescent="0.2">
      <c r="A14" s="13"/>
      <c r="B14" s="13"/>
      <c r="C14" s="47"/>
      <c r="D14" s="47"/>
      <c r="E14" s="47"/>
      <c r="F14" s="47"/>
      <c r="G14" s="47"/>
      <c r="H14" s="48"/>
      <c r="I14" s="48"/>
      <c r="J14" s="48"/>
      <c r="K14" s="48"/>
      <c r="L14" s="48"/>
      <c r="M14" s="48"/>
      <c r="N14" s="14"/>
      <c r="O14" s="13"/>
    </row>
    <row r="15" spans="1:19" ht="46.5" customHeight="1" x14ac:dyDescent="0.2">
      <c r="A15" s="113" t="s">
        <v>47</v>
      </c>
      <c r="B15" s="113" t="s">
        <v>64</v>
      </c>
      <c r="C15" s="72" t="s">
        <v>0</v>
      </c>
      <c r="D15" s="72" t="s">
        <v>52</v>
      </c>
      <c r="E15" s="72" t="s">
        <v>51</v>
      </c>
      <c r="F15" s="72" t="s">
        <v>11</v>
      </c>
      <c r="G15" s="72" t="s">
        <v>50</v>
      </c>
      <c r="H15" s="72" t="s">
        <v>27</v>
      </c>
      <c r="I15" s="72" t="s">
        <v>54</v>
      </c>
      <c r="J15" s="72" t="s">
        <v>5</v>
      </c>
      <c r="K15" s="72" t="s">
        <v>15</v>
      </c>
      <c r="L15" s="102" t="s">
        <v>36</v>
      </c>
      <c r="M15" s="102" t="s">
        <v>46</v>
      </c>
      <c r="N15" s="113" t="s">
        <v>65</v>
      </c>
      <c r="O15" s="113" t="s">
        <v>66</v>
      </c>
    </row>
    <row r="16" spans="1:19" ht="22.5" customHeight="1" x14ac:dyDescent="0.2">
      <c r="A16" s="110"/>
      <c r="B16" s="110"/>
      <c r="C16" s="30"/>
      <c r="D16" s="58"/>
      <c r="E16" s="30"/>
      <c r="F16" s="30"/>
      <c r="G16" s="137"/>
      <c r="H16" s="99"/>
      <c r="I16" s="94"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Row],[Activiteit]],Activiteiten[[Activiteit Nr.]:[Subsidie %]],3,0),"")</f>
        <v/>
      </c>
      <c r="K16" s="94" t="str">
        <f>IFERROR(((Loonkosten7678[[#This Row],[Kosten inc. btw]])*Loonkosten7678[[#This Row],[Subsidie %]]), "")</f>
        <v/>
      </c>
      <c r="L16" s="61"/>
      <c r="M16" s="61"/>
      <c r="N16" s="110"/>
      <c r="O16" s="110"/>
    </row>
    <row r="17" spans="1:19" ht="22.5" customHeight="1" x14ac:dyDescent="0.2">
      <c r="A17" s="110"/>
      <c r="B17" s="110"/>
      <c r="C17" s="30"/>
      <c r="D17" s="58"/>
      <c r="E17" s="30"/>
      <c r="F17" s="30"/>
      <c r="G17" s="137"/>
      <c r="H17" s="136"/>
      <c r="I17" s="94"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Row],[Activiteit]],Activiteiten[[Activiteit Nr.]:[Subsidie %]],3,0),"")</f>
        <v/>
      </c>
      <c r="K17" s="94" t="str">
        <f>IFERROR(((Loonkosten7678[[#This Row],[Kosten inc. btw]])*Loonkosten7678[[#This Row],[Subsidie %]]), "")</f>
        <v/>
      </c>
      <c r="L17" s="61"/>
      <c r="M17" s="61"/>
      <c r="N17" s="110"/>
      <c r="O17" s="110"/>
    </row>
    <row r="18" spans="1:19" ht="22.5" customHeight="1" x14ac:dyDescent="0.2">
      <c r="A18" s="110"/>
      <c r="B18" s="110"/>
      <c r="C18" s="30"/>
      <c r="D18" s="58"/>
      <c r="E18" s="30"/>
      <c r="F18" s="30"/>
      <c r="G18" s="137"/>
      <c r="H18" s="99"/>
      <c r="I18" s="94"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Row],[Activiteit]],Activiteiten[[Activiteit Nr.]:[Subsidie %]],3,0),"")</f>
        <v/>
      </c>
      <c r="K18" s="94" t="str">
        <f>IFERROR(((Loonkosten7678[[#This Row],[Kosten inc. btw]])*Loonkosten7678[[#This Row],[Subsidie %]]), "")</f>
        <v/>
      </c>
      <c r="L18" s="61"/>
      <c r="M18" s="61"/>
      <c r="N18" s="110"/>
      <c r="O18" s="110"/>
    </row>
    <row r="19" spans="1:19" ht="22.5" customHeight="1" x14ac:dyDescent="0.2">
      <c r="A19" s="110"/>
      <c r="B19" s="110"/>
      <c r="C19" s="30"/>
      <c r="D19" s="58"/>
      <c r="E19" s="30"/>
      <c r="F19" s="30"/>
      <c r="G19" s="137"/>
      <c r="H19" s="99"/>
      <c r="I19" s="95" t="str">
        <f>IFERROR(IF(Loonkosten7678[[#This Row],[Aantal]]*Loonkosten7678[[#This Row],[Kosten per product / dienst]]*(1+Loonkosten7678[[#This Row],[Btw %]])=0,"",Loonkosten7678[[#This Row],[Aantal]]*Loonkosten7678[[#This Row],[Kosten per product / dienst]]*(1+Loonkosten7678[[#This Row],[Btw %]])),"")</f>
        <v/>
      </c>
      <c r="J19" s="78" t="str">
        <f>IFERROR(VLOOKUP(Loonkosten7678[[#This Row],[Activiteit]],Activiteiten[[Activiteit Nr.]:[Subsidie %]],3,0),"")</f>
        <v/>
      </c>
      <c r="K19" s="94" t="str">
        <f>IFERROR(((Loonkosten7678[[#This Row],[Kosten inc. btw]])*Loonkosten7678[[#This Row],[Subsidie %]]), "")</f>
        <v/>
      </c>
      <c r="L19" s="62"/>
      <c r="M19" s="62"/>
      <c r="N19" s="111"/>
      <c r="O19" s="110"/>
    </row>
    <row r="20" spans="1:19" ht="22.5" customHeight="1" x14ac:dyDescent="0.2">
      <c r="A20" s="110"/>
      <c r="B20" s="110"/>
      <c r="C20" s="30"/>
      <c r="D20" s="58"/>
      <c r="E20" s="30"/>
      <c r="F20" s="30"/>
      <c r="G20" s="137"/>
      <c r="H20" s="99"/>
      <c r="I20" s="95" t="str">
        <f>IFERROR(IF(Loonkosten7678[[#This Row],[Aantal]]*Loonkosten7678[[#This Row],[Kosten per product / dienst]]*(1+Loonkosten7678[[#This Row],[Btw %]])=0,"",Loonkosten7678[[#This Row],[Aantal]]*Loonkosten7678[[#This Row],[Kosten per product / dienst]]*(1+Loonkosten7678[[#This Row],[Btw %]])),"")</f>
        <v/>
      </c>
      <c r="J20" s="78" t="str">
        <f>IFERROR(VLOOKUP(Loonkosten7678[[#This Row],[Activiteit]],Activiteiten[[Activiteit Nr.]:[Subsidie %]],3,0),"")</f>
        <v/>
      </c>
      <c r="K20" s="94" t="str">
        <f>IFERROR(((Loonkosten7678[[#This Row],[Kosten inc. btw]])*Loonkosten7678[[#This Row],[Subsidie %]]), "")</f>
        <v/>
      </c>
      <c r="L20" s="62"/>
      <c r="M20" s="62"/>
      <c r="N20" s="111"/>
      <c r="O20" s="110"/>
    </row>
    <row r="21" spans="1:19" ht="22.5" customHeight="1" x14ac:dyDescent="0.2">
      <c r="A21" s="25"/>
      <c r="B21" s="25"/>
      <c r="C21" s="249" t="s">
        <v>58</v>
      </c>
      <c r="D21" s="249"/>
      <c r="E21" s="249"/>
      <c r="F21" s="249"/>
      <c r="G21" s="249"/>
      <c r="H21" s="249"/>
      <c r="I21" s="249"/>
      <c r="J21" s="249"/>
      <c r="K21" s="249"/>
      <c r="L21" s="249"/>
      <c r="M21" s="52"/>
      <c r="N21" s="52"/>
      <c r="O21" s="25"/>
    </row>
    <row r="22" spans="1:19" ht="22.5" customHeight="1" x14ac:dyDescent="0.2">
      <c r="A22" s="25"/>
      <c r="B22" s="25"/>
      <c r="C22" s="100"/>
      <c r="D22" s="100"/>
      <c r="E22" s="100"/>
      <c r="F22" s="100"/>
      <c r="G22" s="100"/>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2" customHeight="1" x14ac:dyDescent="0.2">
      <c r="C24" s="50"/>
      <c r="D24" s="50"/>
      <c r="E24" s="50"/>
      <c r="F24" s="50"/>
      <c r="G24" s="50"/>
      <c r="H24" s="51"/>
      <c r="I24" s="51"/>
      <c r="J24" s="51"/>
      <c r="K24" s="51"/>
      <c r="L24" s="42"/>
      <c r="M24" s="42"/>
      <c r="N24" s="2"/>
      <c r="O24" s="2"/>
      <c r="P24" s="69"/>
      <c r="Q24" s="69"/>
      <c r="R24" s="69"/>
      <c r="S24" s="69"/>
    </row>
    <row r="25" spans="1:19" ht="21" customHeight="1" x14ac:dyDescent="0.2">
      <c r="C25" s="63" t="s">
        <v>37</v>
      </c>
      <c r="D25" s="63" t="s">
        <v>0</v>
      </c>
      <c r="E25" s="63"/>
      <c r="F25" s="63"/>
      <c r="G25" s="63"/>
      <c r="H25" s="63"/>
      <c r="I25" s="63"/>
      <c r="J25" s="250" t="s">
        <v>42</v>
      </c>
      <c r="K25" s="250"/>
      <c r="L25" s="82" t="s">
        <v>48</v>
      </c>
      <c r="M25" s="250" t="s">
        <v>49</v>
      </c>
      <c r="N25" s="250"/>
      <c r="O25" s="25"/>
    </row>
    <row r="26" spans="1:19" ht="18" customHeight="1" x14ac:dyDescent="0.2">
      <c r="C26" s="49">
        <f>IF(Beginpagina!$C$22=0,"",Beginpagina!$C$22)</f>
        <v>1</v>
      </c>
      <c r="D26" s="261" t="str">
        <f>IF(Beginpagina!$D$22=0,"",Beginpagina!$D$22)</f>
        <v xml:space="preserve">Het inrichten en oprichten van een LEI </v>
      </c>
      <c r="E26" s="261"/>
      <c r="F26" s="261"/>
      <c r="G26" s="261"/>
      <c r="H26" s="261"/>
      <c r="I26" s="261"/>
      <c r="J26" s="251">
        <f>SUMIF(tblPersoneelskosten[Activiteit (klik op de cel en vul deze altijd in)],1,tblPersoneelskosten[Subsidie aanvraag])+SUMIF(tblLoonkostenDerden[Activiteit (klik op de cel voor info en vul deze altijd in)],1,tblLoonkostenDerden[Subsidie aanvraag])+SUMIF(Loonkosten7678[Activiteit],1,Loonkosten7678[Subsidie])+SUMIF(tblOverigeKostenVrijwilligers[Activiteit (klik op de cel voor info en vul deze altijd in)],1,tblOverigeKostenVrijwilligers[Subsidie aanvraag])+SUMIF(tblMachinesApparatuur[Activiteit (klik op de cel voor info en vul deze altijd in)],1,tblMachinesApparatuur[Kosten totaal])</f>
        <v>0</v>
      </c>
      <c r="K26" s="251"/>
      <c r="L26" s="91">
        <f>_xlfn.IFNA(VLOOKUP(C26,Beginpagina!$C$21:$G$26,5,0),"")</f>
        <v>2500</v>
      </c>
      <c r="M26" s="251">
        <f t="shared" ref="M26:M30" si="0">IFERROR((IF(L26&gt;J26,L26-J26,0)),"")</f>
        <v>2500</v>
      </c>
      <c r="N26" s="251"/>
      <c r="O26" s="25"/>
    </row>
    <row r="27" spans="1:19" ht="18" customHeight="1" x14ac:dyDescent="0.2">
      <c r="C27" s="49">
        <f>IF(Beginpagina!$C$23=0,"",Beginpagina!$C$23)</f>
        <v>2</v>
      </c>
      <c r="D27" s="261" t="str">
        <f>IF(Beginpagina!$D$23=0,"",Beginpagina!$D$23)</f>
        <v xml:space="preserve">Uitvoeren van een energiebesparingsproject/eenvoudige energiebesparingsmaatregelen </v>
      </c>
      <c r="E27" s="261"/>
      <c r="F27" s="261"/>
      <c r="G27" s="261"/>
      <c r="H27" s="261"/>
      <c r="I27" s="261"/>
      <c r="J27" s="251">
        <f>SUMIF(tblPersoneelskosten[Activiteit (klik op de cel en vul deze altijd in)],2,tblPersoneelskosten[Subsidie aanvraag])+SUMIF(tblLoonkostenDerden[Activiteit (klik op de cel voor info en vul deze altijd in)],2,tblLoonkostenDerden[Subsidie aanvraag])+SUMIF(Loonkosten7678[Activiteit],2,Loonkosten7678[Subsidie])+SUMIF(tblOverigeKostenVrijwilligers[Activiteit (klik op de cel voor info en vul deze altijd in)],2,tblOverigeKostenVrijwilligers[Subsidie aanvraag])+SUMIF(tblMachinesApparatuur[Activiteit (klik op de cel voor info en vul deze altijd in)],2,tblMachinesApparatuur[Kosten totaal])</f>
        <v>0</v>
      </c>
      <c r="K27" s="251"/>
      <c r="L27" s="91">
        <f>_xlfn.IFNA(VLOOKUP(C27,Beginpagina!$C$21:$G$26,5,0),"")</f>
        <v>10000</v>
      </c>
      <c r="M27" s="251">
        <f t="shared" si="0"/>
        <v>10000</v>
      </c>
      <c r="N27" s="251"/>
      <c r="O27" s="25"/>
    </row>
    <row r="28" spans="1:19" ht="18" customHeight="1" x14ac:dyDescent="0.2">
      <c r="C28" s="49">
        <f>IF(Beginpagina!$C$24=0,"",Beginpagina!$C$24)</f>
        <v>3</v>
      </c>
      <c r="D28" s="261" t="str">
        <f>IF(Beginpagina!$D$24=0,"",Beginpagina!$D$24)</f>
        <v xml:space="preserve">Opleiden van vrijwilligers tot energiefixer of energiebesparingscoach </v>
      </c>
      <c r="E28" s="261"/>
      <c r="F28" s="261"/>
      <c r="G28" s="261"/>
      <c r="H28" s="261"/>
      <c r="I28" s="261"/>
      <c r="J28" s="251">
        <f>SUMIF(tblPersoneelskosten[Activiteit (klik op de cel en vul deze altijd in)],3,tblPersoneelskosten[Subsidie aanvraag])+SUMIF(tblLoonkostenDerden[Activiteit (klik op de cel voor info en vul deze altijd in)],3,tblLoonkostenDerden[Subsidie aanvraag])+SUMIF(Loonkosten7678[Activiteit],3,Loonkosten7678[Subsidie])+SUMIF(tblOverigeKostenVrijwilligers[Activiteit (klik op de cel voor info en vul deze altijd in)],3,tblOverigeKostenVrijwilligers[Subsidie aanvraag])+SUMIF(tblMachinesApparatuur[Activiteit (klik op de cel voor info en vul deze altijd in)],3,tblMachinesApparatuur[Kosten totaal])</f>
        <v>0</v>
      </c>
      <c r="K28" s="251"/>
      <c r="L28" s="91">
        <f>_xlfn.IFNA(VLOOKUP(C28,Beginpagina!$C$21:$G$26,5,0),"")</f>
        <v>2500</v>
      </c>
      <c r="M28" s="251">
        <f t="shared" si="0"/>
        <v>2500</v>
      </c>
      <c r="N28" s="251"/>
      <c r="O28" s="25"/>
    </row>
    <row r="29" spans="1:19" ht="18" customHeight="1" x14ac:dyDescent="0.2">
      <c r="C29" s="49">
        <f>IF(Beginpagina!$C$25=0,"",Beginpagina!$C$25)</f>
        <v>4</v>
      </c>
      <c r="D29" s="261" t="str">
        <f>IF(Beginpagina!$D$25=0,"",Beginpagina!$D$25)</f>
        <v xml:space="preserve">Het voorbereiden van een energieopwekproject </v>
      </c>
      <c r="E29" s="261"/>
      <c r="F29" s="261"/>
      <c r="G29" s="261"/>
      <c r="H29" s="261"/>
      <c r="I29" s="261"/>
      <c r="J29" s="251">
        <f>SUMIF(tblPersoneelskosten[Activiteit (klik op de cel en vul deze altijd in)],4,tblPersoneelskosten[Subsidie aanvraag])+SUMIF(tblLoonkostenDerden[Activiteit (klik op de cel voor info en vul deze altijd in)],4,tblLoonkostenDerden[Subsidie aanvraag])+SUMIF(Loonkosten7678[Activiteit],4,Loonkosten7678[Subsidie])+SUMIF(tblOverigeKostenVrijwilligers[Activiteit (klik op de cel voor info en vul deze altijd in)],4,tblOverigeKostenVrijwilligers[Subsidie aanvraag])+SUMIF(tblMachinesApparatuur[Activiteit (klik op de cel voor info en vul deze altijd in)],4,tblMachinesApparatuur[Kosten totaal])</f>
        <v>0</v>
      </c>
      <c r="K29" s="251"/>
      <c r="L29" s="91">
        <f>_xlfn.IFNA(VLOOKUP(C29,Beginpagina!$C$21:$G$26,5,0),"")</f>
        <v>5000</v>
      </c>
      <c r="M29" s="251">
        <f t="shared" si="0"/>
        <v>5000</v>
      </c>
      <c r="N29" s="251"/>
      <c r="O29" s="25"/>
    </row>
    <row r="30" spans="1:19" ht="18" customHeight="1" x14ac:dyDescent="0.2">
      <c r="C30" s="49" t="str">
        <f>IF(Beginpagina!$C$27=0,"",Beginpagina!$C$27)</f>
        <v/>
      </c>
      <c r="D30" s="262" t="str">
        <f>IF(Beginpagina!$D$27=0,"",Beginpagina!$D$27)</f>
        <v/>
      </c>
      <c r="E30" s="262"/>
      <c r="F30" s="262"/>
      <c r="G30" s="262"/>
      <c r="H30" s="262"/>
      <c r="I30" s="262"/>
      <c r="J30" s="251">
        <f>SUMIF(tblPersoneelskosten[Activiteit (klik op de cel en vul deze altijd in)],5,tblPersoneelskosten[Subsidie aanvraag])+SUMIF(tblLoonkostenDerden[Activiteit (klik op de cel voor info en vul deze altijd in)],5,tblLoonkostenDerden[Subsidie aanvraag])+SUMIF(Loonkosten7678[Activiteit],5,Loonkosten7678[Subsidie])+SUMIF(tblOverigeKostenVrijwilligers[Activiteit (klik op de cel voor info en vul deze altijd in)],5,tblOverigeKostenVrijwilligers[Subsidie aanvraag])+SUMIF(tblMachinesApparatuur[Activiteit (klik op de cel voor info en vul deze altijd in)],5,tblMachinesApparatuur[Kosten totaal])</f>
        <v>0</v>
      </c>
      <c r="K30" s="251"/>
      <c r="L30" s="91" t="str">
        <f>_xlfn.IFNA(VLOOKUP(C30,Beginpagina!$C$21:$G$26,5,0),"")</f>
        <v/>
      </c>
      <c r="M30" s="251" t="str">
        <f t="shared" si="0"/>
        <v/>
      </c>
      <c r="N30" s="251"/>
      <c r="O30" s="25"/>
    </row>
    <row r="31" spans="1:19" ht="7.5" customHeight="1" x14ac:dyDescent="0.2">
      <c r="C31" s="81">
        <f>(MAX(Activiteiten[[#All],[Activiteit Nr.]])+1)</f>
        <v>6</v>
      </c>
      <c r="D31" s="42"/>
      <c r="E31" s="42"/>
      <c r="F31" s="42"/>
      <c r="G31" s="42"/>
      <c r="H31" s="42"/>
      <c r="I31" s="42"/>
      <c r="J31" s="42"/>
      <c r="M31" s="21"/>
    </row>
    <row r="32" spans="1:19" ht="18" customHeight="1" x14ac:dyDescent="0.3">
      <c r="C32" s="53" t="s">
        <v>31</v>
      </c>
      <c r="D32" s="53"/>
      <c r="E32" s="53"/>
      <c r="F32" s="53"/>
      <c r="G32" s="53"/>
      <c r="H32" s="54"/>
      <c r="I32" s="54"/>
      <c r="J32" s="54"/>
      <c r="K32" s="54"/>
      <c r="L32" s="55"/>
      <c r="M32" s="55"/>
      <c r="N32" s="33"/>
    </row>
    <row r="33" spans="3:11" ht="10.5" customHeight="1" x14ac:dyDescent="0.2">
      <c r="C33" s="54"/>
      <c r="D33" s="54"/>
      <c r="E33" s="54"/>
      <c r="F33" s="54"/>
      <c r="G33" s="54"/>
      <c r="H33" s="54"/>
      <c r="I33" s="54"/>
      <c r="J33" s="54"/>
      <c r="K33" s="54"/>
    </row>
    <row r="34" spans="3:11" ht="10.5" customHeight="1" x14ac:dyDescent="0.2">
      <c r="C34" s="256" t="s">
        <v>84</v>
      </c>
      <c r="D34" s="256"/>
      <c r="E34" s="256"/>
      <c r="F34" s="256"/>
      <c r="G34" s="256"/>
      <c r="H34" s="256"/>
      <c r="I34" s="256"/>
      <c r="J34" s="256"/>
      <c r="K34" s="55"/>
    </row>
    <row r="35" spans="3:11" ht="11.4" x14ac:dyDescent="0.2">
      <c r="C35" s="256"/>
      <c r="D35" s="256"/>
      <c r="E35" s="256"/>
      <c r="F35" s="256"/>
      <c r="G35" s="256"/>
      <c r="H35" s="256"/>
      <c r="I35" s="256"/>
      <c r="J35" s="256"/>
      <c r="K35" s="55"/>
    </row>
    <row r="36" spans="3:11" ht="10.199999999999999" x14ac:dyDescent="0.2">
      <c r="C36" s="256"/>
      <c r="D36" s="256"/>
      <c r="E36" s="256"/>
      <c r="F36" s="256"/>
      <c r="G36" s="256"/>
      <c r="H36" s="256"/>
      <c r="I36" s="256"/>
      <c r="J36" s="256"/>
    </row>
    <row r="37" spans="3:11" ht="10.199999999999999" x14ac:dyDescent="0.2">
      <c r="C37" s="256"/>
      <c r="D37" s="256"/>
      <c r="E37" s="256"/>
      <c r="F37" s="256"/>
      <c r="G37" s="256"/>
      <c r="H37" s="256"/>
      <c r="I37" s="256"/>
      <c r="J37" s="256"/>
    </row>
    <row r="38" spans="3:11" ht="10.199999999999999" x14ac:dyDescent="0.2"/>
    <row r="39" spans="3:11" ht="10.199999999999999" x14ac:dyDescent="0.2"/>
    <row r="40" spans="3:11" ht="10.199999999999999" x14ac:dyDescent="0.2"/>
    <row r="41" spans="3:11" ht="10.199999999999999" x14ac:dyDescent="0.2"/>
    <row r="42" spans="3:11" ht="10.199999999999999" x14ac:dyDescent="0.2"/>
    <row r="43" spans="3:11" ht="10.199999999999999" x14ac:dyDescent="0.2"/>
    <row r="44" spans="3:11" ht="10.199999999999999" x14ac:dyDescent="0.2"/>
    <row r="45" spans="3:11" ht="10.199999999999999" x14ac:dyDescent="0.2"/>
    <row r="46" spans="3:11" ht="10.199999999999999" x14ac:dyDescent="0.2"/>
    <row r="47" spans="3:11" ht="10.199999999999999" x14ac:dyDescent="0.2"/>
    <row r="48" spans="3:11" ht="10.199999999999999" x14ac:dyDescent="0.2"/>
    <row r="49" spans="1:15" ht="10.199999999999999" x14ac:dyDescent="0.2"/>
    <row r="50" spans="1:15" ht="10.199999999999999" x14ac:dyDescent="0.2"/>
    <row r="51" spans="1:15" ht="10.199999999999999" x14ac:dyDescent="0.2"/>
    <row r="52" spans="1:15" ht="10.199999999999999" x14ac:dyDescent="0.2"/>
    <row r="53" spans="1:15" ht="10.199999999999999" x14ac:dyDescent="0.2"/>
    <row r="54" spans="1:15" ht="10.199999999999999" x14ac:dyDescent="0.2"/>
    <row r="55" spans="1:15" ht="10.199999999999999" x14ac:dyDescent="0.2">
      <c r="L55" s="101"/>
      <c r="M55" s="101"/>
    </row>
    <row r="56" spans="1:15" ht="10.199999999999999" x14ac:dyDescent="0.2">
      <c r="L56" s="101"/>
      <c r="M56" s="101"/>
    </row>
    <row r="57" spans="1:15" ht="10.199999999999999" x14ac:dyDescent="0.2">
      <c r="L57" s="101"/>
      <c r="M57" s="101"/>
    </row>
    <row r="58" spans="1:15" s="70" customFormat="1" ht="10.5" customHeight="1" x14ac:dyDescent="0.2">
      <c r="A58" s="13"/>
      <c r="B58" s="13"/>
      <c r="C58" s="25"/>
      <c r="D58" s="25"/>
      <c r="E58" s="25"/>
      <c r="F58" s="25"/>
      <c r="G58" s="25"/>
      <c r="H58" s="25"/>
      <c r="I58" s="25"/>
      <c r="J58" s="25"/>
      <c r="K58" s="25"/>
      <c r="L58" s="59"/>
      <c r="M58" s="59"/>
      <c r="N58" s="37"/>
      <c r="O58" s="13"/>
    </row>
    <row r="59" spans="1:15" ht="10.5" customHeight="1" x14ac:dyDescent="0.2"/>
    <row r="60" spans="1:15" ht="10.5" customHeight="1" thickBot="1" x14ac:dyDescent="0.25"/>
    <row r="61" spans="1:15" ht="18" customHeight="1" x14ac:dyDescent="0.2">
      <c r="C61" s="56" t="str">
        <f>CONCATENATE("Subsidieaanvraag voor ",Beginpagina!$D$7)</f>
        <v>Subsidieaanvraag voor Paragraaf 3.6 Lokale energie-initiatieven 4.0</v>
      </c>
      <c r="D61" s="56"/>
      <c r="E61" s="56"/>
      <c r="F61" s="56"/>
      <c r="G61" s="56"/>
      <c r="H61" s="57"/>
      <c r="I61" s="57"/>
      <c r="J61" s="67"/>
      <c r="K61" s="65"/>
      <c r="L61" s="67"/>
      <c r="M61" s="65" t="s">
        <v>25</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M25:N25"/>
    <mergeCell ref="D26:I26"/>
    <mergeCell ref="J26:K26"/>
    <mergeCell ref="M26:N26"/>
    <mergeCell ref="D27:I27"/>
    <mergeCell ref="J27:K27"/>
    <mergeCell ref="M27:N27"/>
    <mergeCell ref="M28:N28"/>
    <mergeCell ref="M29:N29"/>
    <mergeCell ref="M30:N30"/>
    <mergeCell ref="D29:I29"/>
    <mergeCell ref="J29:K29"/>
    <mergeCell ref="D30:I30"/>
    <mergeCell ref="J30:K30"/>
    <mergeCell ref="C34:J37"/>
    <mergeCell ref="J25:K25"/>
    <mergeCell ref="D28:I28"/>
    <mergeCell ref="J28:K28"/>
    <mergeCell ref="C21:L21"/>
  </mergeCells>
  <conditionalFormatting sqref="C26:I30 L26:L30">
    <cfRule type="expression" dxfId="157" priority="13">
      <formula>$C26&lt;&gt;""</formula>
    </cfRule>
  </conditionalFormatting>
  <conditionalFormatting sqref="J26:K30">
    <cfRule type="expression" dxfId="156" priority="8">
      <formula>$C26&lt;&gt;""</formula>
    </cfRule>
  </conditionalFormatting>
  <conditionalFormatting sqref="J26:K30">
    <cfRule type="expression" dxfId="155" priority="7">
      <formula>$J26&gt;$L26</formula>
    </cfRule>
  </conditionalFormatting>
  <conditionalFormatting sqref="M26:N29">
    <cfRule type="expression" dxfId="154" priority="6">
      <formula>$C26&lt;&gt;""</formula>
    </cfRule>
  </conditionalFormatting>
  <conditionalFormatting sqref="M26:N29">
    <cfRule type="expression" dxfId="153" priority="5">
      <formula>$N26&lt;0</formula>
    </cfRule>
  </conditionalFormatting>
  <conditionalFormatting sqref="M30:N30">
    <cfRule type="expression" dxfId="152" priority="4">
      <formula>$C30&lt;&gt;""</formula>
    </cfRule>
  </conditionalFormatting>
  <conditionalFormatting sqref="M30:N30">
    <cfRule type="expression" dxfId="151"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5">
    <pageSetUpPr fitToPage="1"/>
  </sheetPr>
  <dimension ref="A1:S61"/>
  <sheetViews>
    <sheetView showGridLines="0" zoomScaleNormal="100" workbookViewId="0">
      <selection activeCell="C16" sqref="C16"/>
    </sheetView>
  </sheetViews>
  <sheetFormatPr defaultColWidth="9.125" defaultRowHeight="10.5" customHeight="1" x14ac:dyDescent="0.2"/>
  <cols>
    <col min="1" max="2" width="2.875" style="68" customWidth="1"/>
    <col min="3" max="3" width="12.25" style="68" customWidth="1"/>
    <col min="4" max="4" width="12.125" style="68" customWidth="1"/>
    <col min="5" max="5" width="9.25" style="68" customWidth="1"/>
    <col min="6" max="6" width="12.125" style="68" customWidth="1"/>
    <col min="7" max="7" width="12" style="68" customWidth="1"/>
    <col min="8" max="8" width="12.125" style="68" customWidth="1"/>
    <col min="9" max="9" width="9.625" style="68" customWidth="1"/>
    <col min="10" max="10" width="12.125" style="68" customWidth="1"/>
    <col min="11" max="13" width="10.125" style="68" customWidth="1"/>
    <col min="14" max="14" width="3.625" style="68" customWidth="1"/>
    <col min="15" max="15" width="5.7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42"/>
      <c r="O1" s="2"/>
      <c r="P1" s="69"/>
      <c r="Q1" s="69"/>
      <c r="R1" s="69"/>
      <c r="S1" s="69"/>
    </row>
    <row r="2" spans="1:19" ht="10.199999999999999" x14ac:dyDescent="0.2">
      <c r="A2" s="2"/>
      <c r="B2" s="2"/>
      <c r="C2" s="25"/>
      <c r="D2" s="25"/>
      <c r="E2" s="25"/>
      <c r="F2" s="25"/>
      <c r="G2" s="25"/>
      <c r="H2" s="42"/>
      <c r="I2" s="42"/>
      <c r="J2" s="42"/>
      <c r="K2" s="42"/>
      <c r="L2" s="25"/>
      <c r="M2" s="25"/>
      <c r="N2" s="25"/>
      <c r="O2" s="2"/>
      <c r="P2" s="69"/>
      <c r="Q2" s="69"/>
      <c r="R2" s="69"/>
      <c r="S2" s="69"/>
    </row>
    <row r="3" spans="1:19" ht="10.199999999999999" x14ac:dyDescent="0.2">
      <c r="A3" s="2"/>
      <c r="B3" s="2"/>
      <c r="C3" s="43"/>
      <c r="D3" s="43"/>
      <c r="E3" s="43"/>
      <c r="F3" s="43"/>
      <c r="G3" s="43"/>
      <c r="H3" s="42"/>
      <c r="I3" s="42"/>
      <c r="J3" s="42"/>
      <c r="K3" s="42"/>
      <c r="L3" s="25"/>
      <c r="M3" s="25"/>
      <c r="N3" s="25"/>
      <c r="O3" s="2"/>
      <c r="P3" s="69"/>
      <c r="Q3" s="69"/>
      <c r="R3" s="69"/>
      <c r="S3" s="69"/>
    </row>
    <row r="4" spans="1:19" ht="17.399999999999999" x14ac:dyDescent="0.3">
      <c r="A4" s="3"/>
      <c r="B4" s="3"/>
      <c r="C4" s="44"/>
      <c r="D4" s="44"/>
      <c r="E4" s="44"/>
      <c r="F4" s="44"/>
      <c r="G4" s="44"/>
      <c r="H4" s="42"/>
      <c r="I4" s="42"/>
      <c r="J4" s="42"/>
      <c r="K4" s="42"/>
      <c r="L4" s="25"/>
      <c r="M4" s="25"/>
      <c r="N4" s="25"/>
      <c r="O4" s="3"/>
    </row>
    <row r="5" spans="1:19" ht="10.199999999999999" x14ac:dyDescent="0.2">
      <c r="A5" s="3"/>
      <c r="B5" s="3"/>
      <c r="C5" s="45"/>
      <c r="D5" s="45"/>
      <c r="E5" s="45"/>
      <c r="F5" s="45"/>
      <c r="G5" s="45"/>
      <c r="H5" s="42"/>
      <c r="I5" s="42"/>
      <c r="J5" s="42"/>
      <c r="K5" s="42"/>
      <c r="L5" s="25"/>
      <c r="M5" s="25"/>
      <c r="N5" s="25"/>
      <c r="O5" s="3"/>
    </row>
    <row r="6" spans="1:19" ht="10.199999999999999" x14ac:dyDescent="0.2">
      <c r="A6" s="3"/>
      <c r="B6" s="3"/>
      <c r="C6" s="42"/>
      <c r="D6" s="42"/>
      <c r="E6" s="42"/>
      <c r="F6" s="42"/>
      <c r="G6" s="42"/>
      <c r="H6" s="42"/>
      <c r="I6" s="42"/>
      <c r="J6" s="42"/>
      <c r="K6" s="42"/>
      <c r="L6" s="25"/>
      <c r="M6" s="25"/>
      <c r="N6" s="25"/>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25"/>
      <c r="N9" s="25"/>
      <c r="O9" s="3"/>
    </row>
    <row r="10" spans="1:19" ht="16.2" x14ac:dyDescent="0.3">
      <c r="A10" s="3"/>
      <c r="B10" s="3"/>
      <c r="C10" s="144" t="s">
        <v>94</v>
      </c>
      <c r="D10" s="46"/>
      <c r="E10" s="46"/>
      <c r="F10" s="46"/>
      <c r="G10" s="46"/>
      <c r="H10" s="42"/>
      <c r="I10" s="42"/>
      <c r="J10" s="42"/>
      <c r="K10" s="42"/>
      <c r="L10" s="25"/>
      <c r="M10" s="25"/>
      <c r="N10" s="25"/>
      <c r="O10" s="3"/>
    </row>
    <row r="11" spans="1:19" ht="16.2" x14ac:dyDescent="0.3">
      <c r="A11" s="3"/>
      <c r="B11" s="3"/>
      <c r="C11" s="118" t="s">
        <v>74</v>
      </c>
      <c r="D11" s="46"/>
      <c r="E11" s="46"/>
      <c r="F11" s="46"/>
      <c r="G11" s="46"/>
      <c r="H11" s="42"/>
      <c r="I11" s="42"/>
      <c r="J11" s="42"/>
      <c r="K11" s="42"/>
      <c r="L11" s="25"/>
      <c r="M11" s="25"/>
      <c r="N11" s="25"/>
      <c r="O11" s="3"/>
    </row>
    <row r="12" spans="1:19" ht="10.199999999999999" x14ac:dyDescent="0.2">
      <c r="A12" s="3"/>
      <c r="B12" s="3"/>
      <c r="C12" s="42"/>
      <c r="D12" s="42"/>
      <c r="E12" s="42"/>
      <c r="F12" s="42"/>
      <c r="G12" s="42"/>
      <c r="H12" s="42"/>
      <c r="I12" s="42"/>
      <c r="J12" s="42"/>
      <c r="K12" s="42"/>
      <c r="L12" s="25"/>
      <c r="M12" s="25"/>
      <c r="N12" s="25"/>
      <c r="O12" s="3"/>
    </row>
    <row r="13" spans="1:19" ht="10.199999999999999" x14ac:dyDescent="0.2">
      <c r="A13" s="3"/>
      <c r="B13" s="3"/>
      <c r="C13" s="216" t="s">
        <v>86</v>
      </c>
      <c r="D13" s="216"/>
      <c r="E13" s="216"/>
      <c r="F13" s="216"/>
      <c r="G13" s="42"/>
      <c r="H13" s="42"/>
      <c r="I13" s="178" t="s">
        <v>98</v>
      </c>
      <c r="J13" s="176"/>
      <c r="K13" s="119"/>
      <c r="L13" s="25"/>
      <c r="M13" s="25"/>
      <c r="N13" s="25"/>
      <c r="O13" s="3"/>
    </row>
    <row r="14" spans="1:19" s="70" customFormat="1" ht="7.5" customHeight="1" x14ac:dyDescent="0.2">
      <c r="A14" s="13"/>
      <c r="B14" s="13"/>
      <c r="C14" s="47"/>
      <c r="D14" s="47"/>
      <c r="E14" s="47"/>
      <c r="F14" s="47"/>
      <c r="G14" s="47"/>
      <c r="H14" s="48"/>
      <c r="I14" s="48"/>
      <c r="J14" s="48"/>
      <c r="K14" s="48"/>
      <c r="L14" s="48"/>
      <c r="M14" s="48"/>
      <c r="N14" s="48"/>
      <c r="O14" s="13"/>
    </row>
    <row r="15" spans="1:19" ht="58.5" customHeight="1" x14ac:dyDescent="0.2">
      <c r="A15" s="113" t="s">
        <v>64</v>
      </c>
      <c r="B15" s="113" t="s">
        <v>67</v>
      </c>
      <c r="C15" s="72" t="s">
        <v>107</v>
      </c>
      <c r="D15" s="72" t="s">
        <v>57</v>
      </c>
      <c r="E15" s="85" t="s">
        <v>7</v>
      </c>
      <c r="F15" s="72" t="s">
        <v>56</v>
      </c>
      <c r="G15" s="72" t="s">
        <v>27</v>
      </c>
      <c r="H15" s="72" t="s">
        <v>95</v>
      </c>
      <c r="I15" s="72" t="s">
        <v>5</v>
      </c>
      <c r="J15" s="72" t="s">
        <v>96</v>
      </c>
      <c r="K15" s="102" t="s">
        <v>36</v>
      </c>
      <c r="L15" s="102" t="s">
        <v>46</v>
      </c>
      <c r="M15" s="102" t="s">
        <v>47</v>
      </c>
      <c r="N15" s="113" t="s">
        <v>68</v>
      </c>
      <c r="O15" s="113" t="s">
        <v>69</v>
      </c>
    </row>
    <row r="16" spans="1:19" ht="22.5" customHeight="1" x14ac:dyDescent="0.2">
      <c r="A16" s="110"/>
      <c r="B16" s="110"/>
      <c r="C16" s="199"/>
      <c r="D16" s="200"/>
      <c r="E16" s="199"/>
      <c r="F16" s="218"/>
      <c r="G16" s="213"/>
      <c r="H16" s="94" t="str">
        <f>IF(tblVrijwilligersvergoeding[[#This Row],[Uren]]*(1+tblVrijwilligersvergoeding[[#This Row],[Btw %]])=0,"",(tblVrijwilligersvergoeding[[#This Row],[Uren]]*(1+tblVrijwilligersvergoeding[[#This Row],[Btw %]])*tblVrijwilligersvergoeding[[#This Row],[Bijdrage ex. btw]]))</f>
        <v/>
      </c>
      <c r="I16" s="73" t="str">
        <f>IFERROR(VLOOKUP(tblVrijwilligersvergoeding[[#This Row],[Activiteit (klik op de cel voor info en vul deze altijd in)]],Activiteiten[[Activiteit Nr.]:[Subsidie %]],3,0),"")</f>
        <v/>
      </c>
      <c r="J16"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6" s="193"/>
      <c r="L16" s="194"/>
      <c r="M16" s="194"/>
      <c r="N16" s="194"/>
      <c r="O16" s="194"/>
      <c r="P16" s="195" t="str">
        <f>IFERROR(IF(tblVrijwilligersvergoeding[[#This Row],[Bijdrage ex. btw]]*(1+tblVrijwilligersvergoeding[[#This Row],[Btw %]])*tblVrijwilligersvergoeding[[#This Row],[Subsidie %]]&gt;15,"Let op: voor vrijwilligersvergoeding wordt maximaal €15,- per uur gesubsidieerd.",""),"")</f>
        <v/>
      </c>
    </row>
    <row r="17" spans="1:19" ht="22.5" customHeight="1" x14ac:dyDescent="0.2">
      <c r="A17" s="110"/>
      <c r="B17" s="110"/>
      <c r="C17" s="199"/>
      <c r="D17" s="200"/>
      <c r="E17" s="199"/>
      <c r="F17" s="218"/>
      <c r="G17" s="213"/>
      <c r="H17" s="94" t="str">
        <f>IF(tblVrijwilligersvergoeding[[#This Row],[Uren]]*(1+tblVrijwilligersvergoeding[[#This Row],[Btw %]])=0,"",(tblVrijwilligersvergoeding[[#This Row],[Uren]]*(1+tblVrijwilligersvergoeding[[#This Row],[Btw %]])*tblVrijwilligersvergoeding[[#This Row],[Bijdrage ex. btw]]))</f>
        <v/>
      </c>
      <c r="I17" s="73" t="str">
        <f>IFERROR(VLOOKUP(tblVrijwilligersvergoeding[[#This Row],[Activiteit (klik op de cel voor info en vul deze altijd in)]],Activiteiten[[Activiteit Nr.]:[Subsidie %]],3,0),"")</f>
        <v/>
      </c>
      <c r="J17"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7" s="191"/>
      <c r="L17" s="61"/>
      <c r="M17" s="61"/>
      <c r="N17" s="110"/>
      <c r="O17" s="110"/>
      <c r="P17" s="195" t="str">
        <f>IFERROR(IF(tblVrijwilligersvergoeding[[#This Row],[Bijdrage ex. btw]]*(1+tblVrijwilligersvergoeding[[#This Row],[Btw %]])*tblVrijwilligersvergoeding[[#This Row],[Subsidie %]]&gt;15,"Let op: voor vrijwilligersvergoeding wordt maximaal €15,- per uur gesubsidieerd.",""),"")</f>
        <v/>
      </c>
    </row>
    <row r="18" spans="1:19" ht="22.5" customHeight="1" x14ac:dyDescent="0.2">
      <c r="A18" s="110"/>
      <c r="B18" s="110"/>
      <c r="C18" s="199"/>
      <c r="D18" s="200"/>
      <c r="E18" s="199"/>
      <c r="F18" s="218"/>
      <c r="G18" s="213"/>
      <c r="H18" s="94" t="str">
        <f>IF(tblVrijwilligersvergoeding[[#This Row],[Uren]]*(1+tblVrijwilligersvergoeding[[#This Row],[Btw %]])=0,"",(tblVrijwilligersvergoeding[[#This Row],[Uren]]*(1+tblVrijwilligersvergoeding[[#This Row],[Btw %]])*tblVrijwilligersvergoeding[[#This Row],[Bijdrage ex. btw]]))</f>
        <v/>
      </c>
      <c r="I18" s="73" t="str">
        <f>IFERROR(VLOOKUP(tblVrijwilligersvergoeding[[#This Row],[Activiteit (klik op de cel voor info en vul deze altijd in)]],Activiteiten[[Activiteit Nr.]:[Subsidie %]],3,0),"")</f>
        <v/>
      </c>
      <c r="J18"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8" s="191"/>
      <c r="L18" s="61"/>
      <c r="M18" s="61"/>
      <c r="N18" s="110"/>
      <c r="O18" s="110"/>
      <c r="P18" s="195" t="str">
        <f>IFERROR(IF(tblVrijwilligersvergoeding[[#This Row],[Bijdrage ex. btw]]*(1+tblVrijwilligersvergoeding[[#This Row],[Btw %]])*tblVrijwilligersvergoeding[[#This Row],[Subsidie %]]&gt;15,"Let op: voor vrijwilligersvergoeding wordt maximaal €15,- per uur gesubsidieerd.",""),"")</f>
        <v/>
      </c>
    </row>
    <row r="19" spans="1:19" ht="22.5" customHeight="1" x14ac:dyDescent="0.2">
      <c r="A19" s="110"/>
      <c r="B19" s="110"/>
      <c r="C19" s="199"/>
      <c r="D19" s="200"/>
      <c r="E19" s="199"/>
      <c r="F19" s="218"/>
      <c r="G19" s="213"/>
      <c r="H19" s="95" t="str">
        <f>IF(tblVrijwilligersvergoeding[[#This Row],[Uren]]*(1+tblVrijwilligersvergoeding[[#This Row],[Btw %]])=0,"",(tblVrijwilligersvergoeding[[#This Row],[Uren]]*(1+tblVrijwilligersvergoeding[[#This Row],[Btw %]])*tblVrijwilligersvergoeding[[#This Row],[Bijdrage ex. btw]]))</f>
        <v/>
      </c>
      <c r="I19" s="78" t="str">
        <f>IFERROR(VLOOKUP(tblVrijwilligersvergoeding[[#This Row],[Activiteit (klik op de cel voor info en vul deze altijd in)]],Activiteiten[[Activiteit Nr.]:[Subsidie %]],3,0),"")</f>
        <v/>
      </c>
      <c r="J19"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9" s="192"/>
      <c r="L19" s="62"/>
      <c r="M19" s="62"/>
      <c r="N19" s="110"/>
      <c r="O19" s="111"/>
      <c r="P19" s="195" t="str">
        <f>IFERROR(IF(tblVrijwilligersvergoeding[[#This Row],[Bijdrage ex. btw]]*(1+tblVrijwilligersvergoeding[[#This Row],[Btw %]])*tblVrijwilligersvergoeding[[#This Row],[Subsidie %]]&gt;15,"Let op: voor vrijwilligersvergoeding wordt maximaal €15,- per uur gesubsidieerd.",""),"")</f>
        <v/>
      </c>
    </row>
    <row r="20" spans="1:19" ht="22.5" customHeight="1" thickBot="1" x14ac:dyDescent="0.25">
      <c r="A20" s="110"/>
      <c r="B20" s="110"/>
      <c r="C20" s="199"/>
      <c r="D20" s="200"/>
      <c r="E20" s="199"/>
      <c r="F20" s="218"/>
      <c r="G20" s="213"/>
      <c r="H20" s="95" t="str">
        <f>IF(tblVrijwilligersvergoeding[[#This Row],[Uren]]*(1+tblVrijwilligersvergoeding[[#This Row],[Btw %]])=0,"",(tblVrijwilligersvergoeding[[#This Row],[Uren]]*(1+tblVrijwilligersvergoeding[[#This Row],[Btw %]])*tblVrijwilligersvergoeding[[#This Row],[Bijdrage ex. btw]]))</f>
        <v/>
      </c>
      <c r="I20" s="78" t="str">
        <f>IFERROR(VLOOKUP(tblVrijwilligersvergoeding[[#This Row],[Activiteit (klik op de cel voor info en vul deze altijd in)]],Activiteiten[[Activiteit Nr.]:[Subsidie %]],3,0),"")</f>
        <v/>
      </c>
      <c r="J20"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20" s="192"/>
      <c r="L20" s="62"/>
      <c r="M20" s="62"/>
      <c r="N20" s="110"/>
      <c r="O20" s="111"/>
      <c r="P20" s="195" t="str">
        <f>IFERROR(IF(tblVrijwilligersvergoeding[[#This Row],[Bijdrage ex. btw]]*(1+tblVrijwilligersvergoeding[[#This Row],[Btw %]])*tblVrijwilligersvergoeding[[#This Row],[Subsidie %]]&gt;15,"Let op: voor vrijwilligersvergoeding wordt maximaal €15,- per uur gesubsidieerd.",""),"")</f>
        <v/>
      </c>
    </row>
    <row r="21" spans="1:19" ht="26.25" customHeight="1" thickTop="1" x14ac:dyDescent="0.2">
      <c r="A21" s="25"/>
      <c r="B21" s="25"/>
      <c r="C21" s="257" t="s">
        <v>58</v>
      </c>
      <c r="D21" s="257"/>
      <c r="E21" s="257"/>
      <c r="F21" s="257"/>
      <c r="G21" s="188" t="s">
        <v>103</v>
      </c>
      <c r="H21" s="165">
        <f>SUM(tblVrijwilligersvergoeding[Kosten totaal])</f>
        <v>0</v>
      </c>
      <c r="I21" s="52"/>
      <c r="J21" s="165">
        <f>SUM(tblVrijwilligersvergoeding[Subsidie aanvraag])</f>
        <v>0</v>
      </c>
      <c r="K21" s="152"/>
      <c r="L21" s="152"/>
      <c r="M21" s="52"/>
      <c r="N21" s="52"/>
      <c r="O21" s="25"/>
    </row>
    <row r="22" spans="1:19" ht="33.75" customHeight="1" x14ac:dyDescent="0.2">
      <c r="A22" s="25"/>
      <c r="B22" s="25"/>
      <c r="C22" s="257"/>
      <c r="D22" s="257"/>
      <c r="E22" s="257"/>
      <c r="F22" s="257"/>
      <c r="G22" s="172"/>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 xml:space="preserve">Het inrichten en oprichten van een LEI </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2500</v>
      </c>
      <c r="M26" s="251">
        <f t="shared" ref="M26:M29" si="0">IFERROR((IF(L26&gt;J26,L26-J26,0)),"")</f>
        <v>2500</v>
      </c>
      <c r="N26" s="251"/>
      <c r="O26" s="25"/>
    </row>
    <row r="27" spans="1:19" ht="18" customHeight="1" x14ac:dyDescent="0.2">
      <c r="A27" s="3"/>
      <c r="B27" s="3"/>
      <c r="C27" s="49">
        <f>IF(Beginpagina!$C$23=0,"",Beginpagina!$C$23)</f>
        <v>2</v>
      </c>
      <c r="D27" s="259" t="str">
        <f>IF(Beginpagina!$D$23=0,"",Beginpagina!$D$23)</f>
        <v xml:space="preserve">Uitvoeren van een energiebesparingsproject/eenvoudige energiebesparingsmaatregelen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f>_xlfn.IFNA(VLOOKUP(C27,Beginpagina!$C$21:$G$26,5,0),"")</f>
        <v>10000</v>
      </c>
      <c r="M27" s="251">
        <f t="shared" si="0"/>
        <v>10000</v>
      </c>
      <c r="N27" s="251"/>
      <c r="O27" s="25"/>
    </row>
    <row r="28" spans="1:19" ht="18" customHeight="1" x14ac:dyDescent="0.2">
      <c r="A28" s="3"/>
      <c r="B28" s="3"/>
      <c r="C28" s="49">
        <f>IF(Beginpagina!$C$24=0,"",Beginpagina!$C$24)</f>
        <v>3</v>
      </c>
      <c r="D28" s="259" t="str">
        <f>IF(Beginpagina!$D$24=0,"",Beginpagina!$D$24)</f>
        <v xml:space="preserve">Opleiden van vrijwilligers tot energiefixer of energiebesparingscoach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f>_xlfn.IFNA(VLOOKUP(C28,Beginpagina!$C$21:$G$26,5,0),"")</f>
        <v>2500</v>
      </c>
      <c r="M28" s="251">
        <f t="shared" si="0"/>
        <v>2500</v>
      </c>
      <c r="N28" s="251"/>
      <c r="O28" s="25"/>
    </row>
    <row r="29" spans="1:19" ht="18" customHeight="1" x14ac:dyDescent="0.2">
      <c r="A29" s="3"/>
      <c r="B29" s="3"/>
      <c r="C29" s="49">
        <f>IF(Beginpagina!$C$25=0,"",Beginpagina!$C$25)</f>
        <v>4</v>
      </c>
      <c r="D29" s="259" t="str">
        <f>IF(Beginpagina!$D$25=0,"",Beginpagina!$D$25)</f>
        <v xml:space="preserve">Het voorbereiden van een energieopwekproject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f>_xlfn.IFNA(VLOOKUP(C29,Beginpagina!$C$21:$G$26,5,0),"")</f>
        <v>5000</v>
      </c>
      <c r="M29" s="251">
        <f t="shared" si="0"/>
        <v>5000</v>
      </c>
      <c r="N29" s="251"/>
      <c r="O29" s="25"/>
    </row>
    <row r="30" spans="1:19" ht="18" customHeight="1" x14ac:dyDescent="0.2">
      <c r="A30" s="3"/>
      <c r="B30" s="3"/>
      <c r="C30" s="49">
        <f>IF(Beginpagina!$C$26=0,"",Beginpagina!$C$26)</f>
        <v>5</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f>_xlfn.IFNA(VLOOKUP(C30,Beginpagina!$C$21:$G$26,5,0),"")</f>
        <v>10000</v>
      </c>
      <c r="M30" s="251">
        <f t="shared" ref="M30" si="1">IFERROR((IF(L30&gt;J30,L30-J30,0)),"")</f>
        <v>10000</v>
      </c>
      <c r="N30" s="251"/>
      <c r="O30" s="25"/>
    </row>
    <row r="31" spans="1:19" ht="7.5" customHeight="1" x14ac:dyDescent="0.2">
      <c r="A31" s="3"/>
      <c r="B31" s="3"/>
      <c r="C31" s="81">
        <f>(MAX(Activiteiten[[#All],[Activiteit Nr.]])+1)</f>
        <v>6</v>
      </c>
      <c r="D31" s="42"/>
      <c r="E31" s="42"/>
      <c r="F31" s="42"/>
      <c r="G31" s="42"/>
      <c r="H31" s="42"/>
      <c r="I31" s="42"/>
      <c r="J31" s="42"/>
      <c r="K31" s="25"/>
      <c r="L31" s="25"/>
      <c r="M31" s="21"/>
      <c r="N31" s="3"/>
      <c r="O31" s="3"/>
    </row>
    <row r="32" spans="1:19" ht="18" customHeight="1" x14ac:dyDescent="0.3">
      <c r="A32" s="3"/>
      <c r="B32" s="3"/>
      <c r="C32" s="53" t="s">
        <v>31</v>
      </c>
      <c r="D32" s="53"/>
      <c r="E32" s="53"/>
      <c r="F32" s="53"/>
      <c r="G32" s="53"/>
      <c r="H32" s="54"/>
      <c r="I32" s="54"/>
      <c r="J32" s="54"/>
      <c r="K32" s="54"/>
      <c r="L32" s="25"/>
      <c r="M32" s="25"/>
      <c r="N32" s="25"/>
      <c r="O32" s="3"/>
    </row>
    <row r="33" spans="1:15" ht="10.5" customHeight="1" x14ac:dyDescent="0.2">
      <c r="A33" s="3"/>
      <c r="B33" s="3"/>
      <c r="C33" s="54"/>
      <c r="D33" s="54"/>
      <c r="E33" s="54"/>
      <c r="F33" s="54"/>
      <c r="G33" s="54"/>
      <c r="H33" s="54"/>
      <c r="I33" s="54"/>
      <c r="J33" s="54"/>
      <c r="K33" s="54"/>
      <c r="L33" s="25"/>
      <c r="M33" s="25"/>
      <c r="N33" s="25"/>
      <c r="O33" s="3"/>
    </row>
    <row r="34" spans="1:15" ht="11.4" x14ac:dyDescent="0.2">
      <c r="A34" s="3"/>
      <c r="B34" s="3"/>
      <c r="C34" s="256" t="s">
        <v>84</v>
      </c>
      <c r="D34" s="256"/>
      <c r="E34" s="256"/>
      <c r="F34" s="256"/>
      <c r="G34" s="256"/>
      <c r="H34" s="256"/>
      <c r="I34" s="256"/>
      <c r="J34" s="256"/>
      <c r="K34" s="55"/>
      <c r="L34" s="25"/>
      <c r="M34" s="25"/>
      <c r="N34" s="25"/>
      <c r="O34" s="3"/>
    </row>
    <row r="35" spans="1:15" ht="11.4" x14ac:dyDescent="0.2">
      <c r="A35" s="3"/>
      <c r="B35" s="3"/>
      <c r="C35" s="256"/>
      <c r="D35" s="256"/>
      <c r="E35" s="256"/>
      <c r="F35" s="256"/>
      <c r="G35" s="256"/>
      <c r="H35" s="256"/>
      <c r="I35" s="256"/>
      <c r="J35" s="256"/>
      <c r="K35" s="55"/>
      <c r="L35" s="25"/>
      <c r="M35" s="25"/>
      <c r="N35" s="25"/>
      <c r="O35" s="3"/>
    </row>
    <row r="36" spans="1:15" ht="10.199999999999999" x14ac:dyDescent="0.2">
      <c r="A36" s="3"/>
      <c r="B36" s="3"/>
      <c r="C36" s="256"/>
      <c r="D36" s="256"/>
      <c r="E36" s="256"/>
      <c r="F36" s="256"/>
      <c r="G36" s="256"/>
      <c r="H36" s="256"/>
      <c r="I36" s="256"/>
      <c r="J36" s="256"/>
      <c r="K36" s="25"/>
      <c r="L36" s="25"/>
      <c r="M36" s="25"/>
      <c r="N36" s="25"/>
      <c r="O36" s="3"/>
    </row>
    <row r="37" spans="1:15" ht="10.199999999999999" x14ac:dyDescent="0.2">
      <c r="A37" s="3"/>
      <c r="B37" s="3"/>
      <c r="C37" s="256"/>
      <c r="D37" s="256"/>
      <c r="E37" s="256"/>
      <c r="F37" s="256"/>
      <c r="G37" s="256"/>
      <c r="H37" s="256"/>
      <c r="I37" s="256"/>
      <c r="J37" s="256"/>
      <c r="K37" s="25"/>
      <c r="L37" s="25"/>
      <c r="M37" s="25"/>
      <c r="N37" s="25"/>
      <c r="O37" s="3"/>
    </row>
    <row r="38" spans="1:15" ht="10.199999999999999" x14ac:dyDescent="0.2">
      <c r="A38" s="3"/>
      <c r="B38" s="3"/>
      <c r="C38" s="25"/>
      <c r="D38" s="25"/>
      <c r="E38" s="25"/>
      <c r="F38" s="25"/>
      <c r="G38" s="25"/>
      <c r="H38" s="25"/>
      <c r="I38" s="25"/>
      <c r="J38" s="25"/>
      <c r="K38" s="25"/>
      <c r="L38" s="25"/>
      <c r="M38" s="25"/>
      <c r="N38" s="25"/>
      <c r="O38" s="3"/>
    </row>
    <row r="39" spans="1:15" ht="10.199999999999999" x14ac:dyDescent="0.2">
      <c r="A39" s="3"/>
      <c r="B39" s="3"/>
      <c r="C39" s="25"/>
      <c r="D39" s="25"/>
      <c r="E39" s="25"/>
      <c r="F39" s="25"/>
      <c r="G39" s="25"/>
      <c r="H39" s="25"/>
      <c r="I39" s="25"/>
      <c r="J39" s="25"/>
      <c r="K39" s="25"/>
      <c r="L39" s="25"/>
      <c r="M39" s="25"/>
      <c r="N39" s="25"/>
      <c r="O39" s="3"/>
    </row>
    <row r="40" spans="1:15" ht="10.199999999999999" x14ac:dyDescent="0.2">
      <c r="A40" s="3"/>
      <c r="B40" s="3"/>
      <c r="C40" s="25"/>
      <c r="D40" s="25"/>
      <c r="E40" s="25"/>
      <c r="F40" s="25"/>
      <c r="G40" s="25"/>
      <c r="H40" s="25"/>
      <c r="I40" s="25"/>
      <c r="J40" s="25"/>
      <c r="K40" s="25"/>
      <c r="L40" s="25"/>
      <c r="M40" s="25"/>
      <c r="N40" s="25"/>
      <c r="O40" s="3"/>
    </row>
    <row r="41" spans="1:15" ht="10.199999999999999" x14ac:dyDescent="0.2">
      <c r="A41" s="3"/>
      <c r="B41" s="3"/>
      <c r="C41" s="25"/>
      <c r="D41" s="25"/>
      <c r="E41" s="25"/>
      <c r="F41" s="25"/>
      <c r="G41" s="25"/>
      <c r="H41" s="25"/>
      <c r="I41" s="25"/>
      <c r="J41" s="25"/>
      <c r="K41" s="25"/>
      <c r="L41" s="25"/>
      <c r="M41" s="25"/>
      <c r="N41" s="25"/>
      <c r="O41" s="3"/>
    </row>
    <row r="42" spans="1:15" ht="10.199999999999999" x14ac:dyDescent="0.2">
      <c r="A42" s="3"/>
      <c r="B42" s="3"/>
      <c r="C42" s="25"/>
      <c r="D42" s="25"/>
      <c r="E42" s="25"/>
      <c r="F42" s="25"/>
      <c r="G42" s="25"/>
      <c r="H42" s="25"/>
      <c r="I42" s="25"/>
      <c r="J42" s="25"/>
      <c r="K42" s="25"/>
      <c r="L42" s="25"/>
      <c r="M42" s="25"/>
      <c r="N42" s="25"/>
      <c r="O42" s="3"/>
    </row>
    <row r="43" spans="1:15" ht="10.199999999999999" x14ac:dyDescent="0.2">
      <c r="A43" s="3"/>
      <c r="B43" s="3"/>
      <c r="C43" s="25"/>
      <c r="D43" s="25"/>
      <c r="E43" s="25"/>
      <c r="F43" s="25"/>
      <c r="G43" s="25"/>
      <c r="H43" s="25"/>
      <c r="I43" s="25"/>
      <c r="J43" s="25"/>
      <c r="K43" s="25"/>
      <c r="L43" s="25"/>
      <c r="M43" s="25"/>
      <c r="N43" s="25"/>
      <c r="O43" s="3"/>
    </row>
    <row r="44" spans="1:15" ht="10.199999999999999" x14ac:dyDescent="0.2">
      <c r="A44" s="3"/>
      <c r="B44" s="3"/>
      <c r="C44" s="25"/>
      <c r="D44" s="25"/>
      <c r="E44" s="25"/>
      <c r="F44" s="25"/>
      <c r="G44" s="25"/>
      <c r="H44" s="25"/>
      <c r="I44" s="25"/>
      <c r="J44" s="25"/>
      <c r="K44" s="25"/>
      <c r="L44" s="25"/>
      <c r="M44" s="25"/>
      <c r="N44" s="25"/>
      <c r="O44" s="3"/>
    </row>
    <row r="45" spans="1:15" ht="10.199999999999999" x14ac:dyDescent="0.2">
      <c r="A45" s="3"/>
      <c r="B45" s="3"/>
      <c r="C45" s="25"/>
      <c r="D45" s="25"/>
      <c r="E45" s="25"/>
      <c r="F45" s="25"/>
      <c r="G45" s="25"/>
      <c r="H45" s="25"/>
      <c r="I45" s="25"/>
      <c r="J45" s="25"/>
      <c r="K45" s="25"/>
      <c r="L45" s="25"/>
      <c r="M45" s="25"/>
      <c r="N45" s="25"/>
      <c r="O45" s="3"/>
    </row>
    <row r="46" spans="1:15" ht="10.199999999999999" x14ac:dyDescent="0.2">
      <c r="A46" s="3"/>
      <c r="B46" s="3"/>
      <c r="C46" s="25"/>
      <c r="D46" s="25"/>
      <c r="E46" s="25"/>
      <c r="F46" s="25"/>
      <c r="G46" s="25"/>
      <c r="H46" s="25"/>
      <c r="I46" s="25"/>
      <c r="J46" s="25"/>
      <c r="K46" s="25"/>
      <c r="L46" s="25"/>
      <c r="M46" s="25"/>
      <c r="N46" s="25"/>
      <c r="O46" s="3"/>
    </row>
    <row r="47" spans="1:15" ht="10.199999999999999" x14ac:dyDescent="0.2">
      <c r="A47" s="3"/>
      <c r="B47" s="3"/>
      <c r="C47" s="25"/>
      <c r="D47" s="25"/>
      <c r="E47" s="25"/>
      <c r="F47" s="25"/>
      <c r="G47" s="25"/>
      <c r="H47" s="25"/>
      <c r="I47" s="25"/>
      <c r="J47" s="25"/>
      <c r="K47" s="25"/>
      <c r="L47" s="25"/>
      <c r="M47" s="25"/>
      <c r="N47" s="25"/>
      <c r="O47" s="3"/>
    </row>
    <row r="48" spans="1:15" ht="10.199999999999999" x14ac:dyDescent="0.2">
      <c r="A48" s="3"/>
      <c r="B48" s="3"/>
      <c r="C48" s="25"/>
      <c r="D48" s="25"/>
      <c r="E48" s="25"/>
      <c r="F48" s="25"/>
      <c r="G48" s="25"/>
      <c r="H48" s="25"/>
      <c r="I48" s="25"/>
      <c r="J48" s="25"/>
      <c r="K48" s="25"/>
      <c r="L48" s="25"/>
      <c r="M48" s="25"/>
      <c r="N48" s="25"/>
      <c r="O48" s="3"/>
    </row>
    <row r="49" spans="1:15" ht="10.199999999999999" x14ac:dyDescent="0.2">
      <c r="A49" s="3"/>
      <c r="B49" s="3"/>
      <c r="C49" s="25"/>
      <c r="D49" s="25"/>
      <c r="E49" s="25"/>
      <c r="F49" s="25"/>
      <c r="G49" s="25"/>
      <c r="H49" s="25"/>
      <c r="I49" s="25"/>
      <c r="J49" s="25"/>
      <c r="K49" s="25"/>
      <c r="L49" s="25"/>
      <c r="M49" s="25"/>
      <c r="N49" s="25"/>
      <c r="O49" s="3"/>
    </row>
    <row r="50" spans="1:15" ht="10.199999999999999" x14ac:dyDescent="0.2">
      <c r="A50" s="3"/>
      <c r="B50" s="3"/>
      <c r="C50" s="25"/>
      <c r="D50" s="25"/>
      <c r="E50" s="25"/>
      <c r="F50" s="25"/>
      <c r="G50" s="25"/>
      <c r="H50" s="25"/>
      <c r="I50" s="25"/>
      <c r="J50" s="25"/>
      <c r="K50" s="25"/>
      <c r="L50" s="25"/>
      <c r="M50" s="25"/>
      <c r="N50" s="25"/>
      <c r="O50" s="3"/>
    </row>
    <row r="51" spans="1:15" ht="10.199999999999999" x14ac:dyDescent="0.2">
      <c r="A51" s="3"/>
      <c r="B51" s="3"/>
      <c r="C51" s="25"/>
      <c r="D51" s="25"/>
      <c r="E51" s="25"/>
      <c r="F51" s="25"/>
      <c r="G51" s="25"/>
      <c r="H51" s="25"/>
      <c r="I51" s="25"/>
      <c r="J51" s="25"/>
      <c r="K51" s="25"/>
      <c r="L51" s="25"/>
      <c r="M51" s="25"/>
      <c r="N51" s="25"/>
      <c r="O51" s="3"/>
    </row>
    <row r="52" spans="1:15" ht="10.199999999999999" x14ac:dyDescent="0.2">
      <c r="A52" s="3"/>
      <c r="B52" s="3"/>
      <c r="C52" s="25"/>
      <c r="D52" s="25"/>
      <c r="E52" s="25"/>
      <c r="F52" s="25"/>
      <c r="G52" s="25"/>
      <c r="H52" s="25"/>
      <c r="I52" s="25"/>
      <c r="J52" s="25"/>
      <c r="K52" s="25"/>
      <c r="L52" s="25"/>
      <c r="M52" s="25"/>
      <c r="N52" s="25"/>
      <c r="O52" s="3"/>
    </row>
    <row r="53" spans="1:15" ht="10.199999999999999" x14ac:dyDescent="0.2">
      <c r="A53" s="3"/>
      <c r="B53" s="3"/>
      <c r="C53" s="25"/>
      <c r="D53" s="25"/>
      <c r="E53" s="25"/>
      <c r="F53" s="25"/>
      <c r="G53" s="25"/>
      <c r="H53" s="25"/>
      <c r="I53" s="25"/>
      <c r="J53" s="25"/>
      <c r="K53" s="25"/>
      <c r="L53" s="25"/>
      <c r="M53" s="25"/>
      <c r="N53" s="25"/>
      <c r="O53" s="3"/>
    </row>
    <row r="54" spans="1:15" ht="10.199999999999999" x14ac:dyDescent="0.2">
      <c r="A54" s="3"/>
      <c r="B54" s="3"/>
      <c r="C54" s="25"/>
      <c r="D54" s="25"/>
      <c r="E54" s="25"/>
      <c r="F54" s="25"/>
      <c r="G54" s="25"/>
      <c r="H54" s="25"/>
      <c r="I54" s="25"/>
      <c r="J54" s="25"/>
      <c r="K54" s="25"/>
      <c r="L54" s="25"/>
      <c r="M54" s="25"/>
      <c r="N54" s="25"/>
      <c r="O54" s="3"/>
    </row>
    <row r="55" spans="1:15" ht="10.199999999999999" x14ac:dyDescent="0.2">
      <c r="A55" s="3"/>
      <c r="B55" s="3"/>
      <c r="C55" s="25"/>
      <c r="D55" s="25"/>
      <c r="E55" s="25"/>
      <c r="F55" s="25"/>
      <c r="G55" s="25"/>
      <c r="H55" s="25"/>
      <c r="I55" s="25"/>
      <c r="J55" s="25"/>
      <c r="K55" s="25"/>
      <c r="L55" s="25"/>
      <c r="M55" s="25"/>
      <c r="N55" s="25"/>
      <c r="O55" s="3"/>
    </row>
    <row r="56" spans="1:15" ht="10.199999999999999" x14ac:dyDescent="0.2">
      <c r="A56" s="3"/>
      <c r="B56" s="3"/>
      <c r="C56" s="25"/>
      <c r="D56" s="25"/>
      <c r="E56" s="25"/>
      <c r="F56" s="25"/>
      <c r="G56" s="25"/>
      <c r="H56" s="25"/>
      <c r="I56" s="25"/>
      <c r="J56" s="25"/>
      <c r="K56" s="25"/>
      <c r="L56" s="25"/>
      <c r="M56" s="25"/>
      <c r="N56" s="25"/>
      <c r="O56" s="3"/>
    </row>
    <row r="57" spans="1:15" s="70" customFormat="1" ht="10.5" customHeight="1" x14ac:dyDescent="0.2">
      <c r="A57" s="3"/>
      <c r="B57" s="3"/>
      <c r="C57" s="25"/>
      <c r="D57" s="25"/>
      <c r="E57" s="25"/>
      <c r="F57" s="25"/>
      <c r="G57" s="25"/>
      <c r="H57" s="25"/>
      <c r="I57" s="25"/>
      <c r="J57" s="25"/>
      <c r="K57" s="25"/>
      <c r="L57" s="25"/>
      <c r="M57" s="25"/>
      <c r="N57" s="25"/>
      <c r="O57" s="3"/>
    </row>
    <row r="58" spans="1:15" ht="10.5" customHeight="1" x14ac:dyDescent="0.2">
      <c r="A58" s="3"/>
      <c r="B58" s="3"/>
      <c r="C58" s="25"/>
      <c r="D58" s="25"/>
      <c r="E58" s="25"/>
      <c r="F58" s="25"/>
      <c r="G58" s="25"/>
      <c r="H58" s="25"/>
      <c r="I58" s="25"/>
      <c r="J58" s="25"/>
      <c r="K58" s="25"/>
      <c r="L58" s="25"/>
      <c r="M58" s="25"/>
      <c r="N58" s="25"/>
      <c r="O58" s="3"/>
    </row>
    <row r="59" spans="1:15" ht="10.5" customHeight="1" x14ac:dyDescent="0.2">
      <c r="A59" s="3"/>
      <c r="B59" s="3"/>
      <c r="C59" s="25"/>
      <c r="D59" s="25"/>
      <c r="E59" s="25"/>
      <c r="F59" s="25"/>
      <c r="G59" s="25"/>
      <c r="H59" s="25"/>
      <c r="I59" s="25"/>
      <c r="J59" s="25"/>
      <c r="K59" s="25"/>
      <c r="L59" s="25"/>
      <c r="M59" s="25"/>
      <c r="N59" s="25"/>
      <c r="O59" s="3"/>
    </row>
    <row r="60" spans="1:15" ht="10.5" customHeight="1" thickBot="1" x14ac:dyDescent="0.25">
      <c r="A60" s="3"/>
      <c r="B60" s="3"/>
      <c r="C60" s="25"/>
      <c r="D60" s="25"/>
      <c r="E60" s="25"/>
      <c r="F60" s="25"/>
      <c r="G60" s="25"/>
      <c r="H60" s="25"/>
      <c r="I60" s="25"/>
      <c r="J60" s="25"/>
      <c r="K60" s="25"/>
      <c r="L60" s="25"/>
      <c r="M60" s="25"/>
      <c r="N60" s="25"/>
      <c r="O60" s="3"/>
    </row>
    <row r="61" spans="1:15" ht="18" customHeight="1" x14ac:dyDescent="0.2">
      <c r="A61" s="13"/>
      <c r="B61" s="13"/>
      <c r="C61" s="56" t="str">
        <f>CONCATENATE("Subsidieaanvraag voor ",Beginpagina!$D$7)</f>
        <v>Subsidieaanvraag voor Paragraaf 3.6 Lokale energie-initiatieven 4.0</v>
      </c>
      <c r="D61" s="56"/>
      <c r="E61" s="56"/>
      <c r="F61" s="56"/>
      <c r="G61" s="56"/>
      <c r="H61" s="57"/>
      <c r="I61" s="57"/>
      <c r="J61" s="57"/>
      <c r="K61" s="65"/>
      <c r="L61" s="65"/>
      <c r="M61" s="65" t="s">
        <v>25</v>
      </c>
      <c r="N61" s="59"/>
      <c r="O61" s="13"/>
    </row>
  </sheetData>
  <sheetProtection deleteRows="0"/>
  <mergeCells count="20">
    <mergeCell ref="M28:N28"/>
    <mergeCell ref="D29:I29"/>
    <mergeCell ref="J29:K29"/>
    <mergeCell ref="M29:N29"/>
    <mergeCell ref="D30:I30"/>
    <mergeCell ref="J30:K30"/>
    <mergeCell ref="M30:N30"/>
    <mergeCell ref="C21:F22"/>
    <mergeCell ref="C34:J37"/>
    <mergeCell ref="J25:K25"/>
    <mergeCell ref="D28:I28"/>
    <mergeCell ref="J28:K28"/>
    <mergeCell ref="C24:N24"/>
    <mergeCell ref="M25:N25"/>
    <mergeCell ref="D26:I26"/>
    <mergeCell ref="J26:K26"/>
    <mergeCell ref="M26:N26"/>
    <mergeCell ref="D27:I27"/>
    <mergeCell ref="J27:K27"/>
    <mergeCell ref="M27:N27"/>
  </mergeCells>
  <conditionalFormatting sqref="C26:I30 L26:N30">
    <cfRule type="expression" dxfId="115" priority="17">
      <formula>$C26&lt;&gt;""</formula>
    </cfRule>
  </conditionalFormatting>
  <conditionalFormatting sqref="M26:N29">
    <cfRule type="expression" dxfId="114" priority="9">
      <formula>$N26&lt;0</formula>
    </cfRule>
  </conditionalFormatting>
  <conditionalFormatting sqref="M30:N30">
    <cfRule type="expression" dxfId="113" priority="7">
      <formula>$N30&lt;0</formula>
    </cfRule>
  </conditionalFormatting>
  <conditionalFormatting sqref="J26:K30">
    <cfRule type="expression" dxfId="112" priority="1">
      <formula>$C26&lt;&gt;""</formula>
    </cfRule>
  </conditionalFormatting>
  <conditionalFormatting sqref="J26:K30">
    <cfRule type="expression" dxfId="111" priority="2">
      <formula>$I26&gt;$L26</formula>
    </cfRule>
  </conditionalFormatting>
  <dataValidations count="7">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0000000}">
      <formula1>C31</formula1>
    </dataValidation>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16:D20" xr:uid="{00000000-0002-0000-0400-000001000000}"/>
    <dataValidation type="decimal" operator="greaterThan" allowBlank="1" showInputMessage="1" showErrorMessage="1" error="Een punt is niet toegestaan. Gebruik een komma." sqref="F16:F20" xr:uid="{00000000-0002-0000-0400-000002000000}">
      <formula1>0</formula1>
    </dataValidation>
    <dataValidation type="custom" allowBlank="1" showInputMessage="1" showErrorMessage="1" error="Hier a.u.b. geen wijzigingen" sqref="O17 G5 B54 L17 J22 K5 G7 C10 C8 K8 C6 C5 L7 K7 K13 A54 O54 O55 O56 O57 O58 J23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D5 C7 D8 C9 D10 C11 C12 C14 C21 C22 C23 C24 C26 C27 C28 C29 C30 C31 C32 C33 C34 C35 C36 C37 C38 C39 C40 C41 C42 C43 C44 C45 C46 C47 C48 C49 C50 C51 C52 C53 D54 C55 C56 C57 C58 C59 C60 C61 D1 D2 D3 D4 E5 D6 D7 E8 D9 E10 D11 D12 D14 D21 D22 D23 D24 D26 D27 D28 D29 D30 D31 D32 D33 D34 D35 D36 D37 D38 D39 D40 D41 D42 D43 D44 D45 D46 D47 D48 D49 D50 D51 D52 D53 E54 D55 D56 D57 D58 D59 D60 D61 E1 E2 E3 E4 F5 E6 E7 F8 E9 F10 E11 E12 E14 E21 E22 E23 E24 E26 E27 E28 E29 E30 E31 E32 E33 E34 E35 E36 E37 E38 E39 E40 E41 E42 E43 E44 E45 E46 E47 E48 E49 E50 E51 E52 E53 F54 E55 E56 E57 E58 E59 E60 E61 F1 F2 F3 F4 G6 F6 F7 F9 G10 F11 F12 F14 F21 F22 F23 F24 F26 F27 F28 F29 F30 F31 F32 F33 F34 F35 F36 F37 F38 F39 F40 F41 F42 F43 F44 F45 F46 F47 F48 F49 F50 F51 F52 F53 G54 F55 F56 F57 F58 F59 F60 F61 G1 G2 G3 G4 C13:F13 H5 H6 H7 G8 G9 H10 G11 G12 G13 G14 G22 G23 G24 G26 G27 G28 G29 G30 G31 G32 G33 G34 G35 G36 G37 G38 G39 G40 G41 G42 G43 G44 G45 G46 G47 G48 G49 G50 G51 G52 G53 H54 G55 G56 G57 G58 G59 G60 G61 H1 H2 H3 H4 I5 I7 H8 H9 I10 H11 H12 H13 H14 H22 H23 H24 H26 H27 H28 H29 H30 H31 H32 H33 H34 H35 H36 H37 H38 H39 H40 H41 H42 H43 H44 H45 H46 H47 H48 H49 H50 H51 H52 H53 I54 H55 H56 H57 H58 H59 H60 H61 I1 I2 I3 I4 J5 I6 J6 I8 I9 I11 I12 I14 I21 I22 I23 I24 I26 I27 I28 I29 I30 I31 I32 I33 I34 I35 I36 I37 I38 I39 I40 I41 I42 I43 I44 I45 I46 I47 I48 I49 I50 I51 I52 I53 J54 I55 I56 I57 I58 I59 I60 I61 J1 J2 J3 J4 K6 J7 J8 J9 J10 J11 J12 J14 K22 O45 O46 O47 O48 O49 J29 J30 J31 J32 J33 J34 J35 J36 J37 J38 J39 J40 J41 J42 J43 J44 J45 J46 J47 J48 J49 J50 J51 J52 J53 K54 J55 J56 J57 J58 J59 J60 J61 K1 K2 K3 K4 L5 L6 O59 K9 K10 K11 K12 K14 K15 K16 K17 K18 K19 K20 K21 O50 O51 O52 O53 J16:J20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O44 K23 J24 J26 J27 J28 K24 K26 K27 K28 O61" xr:uid="{00000000-0002-0000-0400-000003000000}">
      <formula1>FALSE</formula1>
    </dataValidation>
    <dataValidation type="custom" allowBlank="1" showInputMessage="1" showErrorMessage="1" sqref="J21 H16:H20 I16:I20 G21:H21" xr:uid="{00000000-0002-0000-0400-000004000000}">
      <formula1>FALSE</formula1>
    </dataValidation>
    <dataValidation allowBlank="1" showInputMessage="1" showErrorMessage="1" error="Hier a.u.b. geen wijzigingen" sqref="I13:J13" xr:uid="{00000000-0002-0000-0400-000005000000}"/>
    <dataValidation allowBlank="1" showInputMessage="1" showErrorMessage="1" prompt="Kies voor welke activiteit u deze kosten maakt. Gebruik hiervoor het nummer in onderstaande tabel &quot;Subsidiabele Activiteiten&quot;." sqref="C15" xr:uid="{00000000-0002-0000-0400-000006000000}"/>
  </dataValidations>
  <pageMargins left="0.7" right="0.7" top="0.75" bottom="0.75" header="0.3" footer="0.3"/>
  <pageSetup paperSize="9" scale="77" fitToHeight="0" orientation="landscape" r:id="rId1"/>
  <ignoredErrors>
    <ignoredError sqref="I16:I20 H16:H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00990298-B5DC-4119-8271-035CA5FA0E50}">
            <xm:f>Beginpagina!$E$17="Ja"</xm:f>
            <x14:dxf>
              <fill>
                <patternFill>
                  <bgColor theme="0" tint="-0.14996795556505021"/>
                </patternFill>
              </fill>
            </x14:dxf>
          </x14:cfRule>
          <xm:sqref>G16:G20</xm:sqref>
        </x14:conditionalFormatting>
        <x14:conditionalFormatting xmlns:xm="http://schemas.microsoft.com/office/excel/2006/main">
          <x14:cfRule type="expression" priority="3" id="{5EA53A8C-F6A0-405A-91E8-3E4E46E0E36E}">
            <xm:f>Beginpagina!$E$17="Ja"</xm:f>
            <x14:dxf>
              <font>
                <color rgb="FF005A9A"/>
              </font>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7000000}">
          <x14:formula1>
            <xm:f>'(Loon)kosten derden'!$Q$16:$Q$18</xm:f>
          </x14:formula1>
          <xm:sqref>G16:G20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6">
    <pageSetUpPr fitToPage="1"/>
  </sheetPr>
  <dimension ref="A1:S78"/>
  <sheetViews>
    <sheetView showGridLines="0" zoomScaleNormal="100" workbookViewId="0">
      <selection activeCell="C16" sqref="C16"/>
    </sheetView>
  </sheetViews>
  <sheetFormatPr defaultColWidth="9.125" defaultRowHeight="0" customHeight="1" zeroHeight="1" x14ac:dyDescent="0.2"/>
  <cols>
    <col min="1" max="2" width="2.875" style="68" customWidth="1"/>
    <col min="3" max="3" width="11.25" style="68" customWidth="1"/>
    <col min="4" max="5" width="12.125" style="68" customWidth="1"/>
    <col min="6" max="7" width="9.25" style="68" customWidth="1"/>
    <col min="8" max="8" width="10.75" style="68" customWidth="1"/>
    <col min="9" max="9" width="12.125" style="68" customWidth="1"/>
    <col min="10" max="10" width="9.25" style="68" customWidth="1"/>
    <col min="11" max="11" width="12.125" style="68" customWidth="1"/>
    <col min="12" max="13" width="10.125" style="68" customWidth="1"/>
    <col min="14" max="14" width="1.375" style="68" customWidth="1"/>
    <col min="15" max="15" width="5.7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C2" s="25"/>
      <c r="D2" s="25"/>
      <c r="E2" s="25"/>
      <c r="F2" s="25"/>
      <c r="G2" s="25"/>
      <c r="H2" s="42"/>
      <c r="I2" s="42"/>
      <c r="J2" s="42"/>
      <c r="K2" s="42"/>
      <c r="L2" s="25"/>
      <c r="M2" s="25"/>
      <c r="N2" s="3"/>
      <c r="O2" s="2"/>
      <c r="P2" s="69"/>
      <c r="Q2" s="69"/>
      <c r="R2" s="69"/>
      <c r="S2" s="69"/>
    </row>
    <row r="3" spans="1:19" ht="10.199999999999999" x14ac:dyDescent="0.2">
      <c r="A3" s="2"/>
      <c r="B3" s="2"/>
      <c r="C3" s="43"/>
      <c r="D3" s="43"/>
      <c r="E3" s="43"/>
      <c r="F3" s="43"/>
      <c r="G3" s="43"/>
      <c r="H3" s="42"/>
      <c r="I3" s="42"/>
      <c r="J3" s="42"/>
      <c r="K3" s="42"/>
      <c r="L3" s="25"/>
      <c r="M3" s="25"/>
      <c r="N3" s="3"/>
      <c r="O3" s="2"/>
      <c r="P3" s="69"/>
      <c r="Q3" s="69"/>
      <c r="R3" s="69"/>
      <c r="S3" s="69"/>
    </row>
    <row r="4" spans="1:19" ht="17.399999999999999" x14ac:dyDescent="0.3">
      <c r="A4" s="3"/>
      <c r="B4" s="3"/>
      <c r="C4" s="44"/>
      <c r="D4" s="44"/>
      <c r="E4" s="44"/>
      <c r="F4" s="44"/>
      <c r="G4" s="44"/>
      <c r="H4" s="42"/>
      <c r="I4" s="42"/>
      <c r="J4" s="42"/>
      <c r="K4" s="42"/>
      <c r="L4" s="25"/>
      <c r="M4" s="25"/>
      <c r="N4" s="3"/>
      <c r="O4" s="3"/>
    </row>
    <row r="5" spans="1:19" ht="10.199999999999999" x14ac:dyDescent="0.2">
      <c r="A5" s="3"/>
      <c r="B5" s="3"/>
      <c r="C5" s="45"/>
      <c r="D5" s="45"/>
      <c r="E5" s="45"/>
      <c r="F5" s="45"/>
      <c r="G5" s="45"/>
      <c r="H5" s="42"/>
      <c r="I5" s="42"/>
      <c r="J5" s="42"/>
      <c r="K5" s="42"/>
      <c r="L5" s="25"/>
      <c r="M5" s="25"/>
      <c r="N5" s="3"/>
      <c r="O5" s="3"/>
    </row>
    <row r="6" spans="1:19" ht="10.199999999999999" x14ac:dyDescent="0.2">
      <c r="A6" s="3"/>
      <c r="B6" s="3"/>
      <c r="C6" s="42"/>
      <c r="D6" s="42"/>
      <c r="E6" s="42"/>
      <c r="F6" s="42"/>
      <c r="G6" s="42"/>
      <c r="H6" s="42"/>
      <c r="I6" s="42"/>
      <c r="J6" s="42"/>
      <c r="K6" s="42"/>
      <c r="L6" s="25"/>
      <c r="M6" s="25"/>
      <c r="N6" s="3"/>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25"/>
      <c r="N9" s="3"/>
      <c r="O9" s="3"/>
    </row>
    <row r="10" spans="1:19" ht="16.2" x14ac:dyDescent="0.3">
      <c r="A10" s="3"/>
      <c r="B10" s="3"/>
      <c r="C10" s="46" t="s">
        <v>32</v>
      </c>
      <c r="D10" s="46"/>
      <c r="E10" s="46"/>
      <c r="F10" s="46"/>
      <c r="G10" s="46"/>
      <c r="H10" s="42"/>
      <c r="I10" s="42"/>
      <c r="J10" s="42"/>
      <c r="K10" s="42"/>
      <c r="L10" s="25"/>
      <c r="M10" s="25"/>
      <c r="N10" s="3"/>
      <c r="O10" s="3"/>
    </row>
    <row r="11" spans="1:19" ht="16.2" x14ac:dyDescent="0.3">
      <c r="A11" s="3"/>
      <c r="B11" s="3"/>
      <c r="C11" s="118" t="s">
        <v>89</v>
      </c>
      <c r="D11" s="46"/>
      <c r="E11" s="46"/>
      <c r="F11" s="46"/>
      <c r="G11" s="46"/>
      <c r="H11" s="42"/>
      <c r="I11" s="42"/>
      <c r="J11" s="42"/>
      <c r="K11" s="42"/>
      <c r="L11" s="25"/>
      <c r="M11" s="25"/>
      <c r="N11" s="3"/>
      <c r="O11" s="3"/>
    </row>
    <row r="12" spans="1:19" ht="10.199999999999999" x14ac:dyDescent="0.2">
      <c r="A12" s="3"/>
      <c r="B12" s="3"/>
      <c r="C12" s="42"/>
      <c r="D12" s="42"/>
      <c r="E12" s="42"/>
      <c r="F12" s="42"/>
      <c r="G12" s="42"/>
      <c r="H12" s="42"/>
      <c r="I12" s="42"/>
      <c r="J12" s="42"/>
      <c r="K12" s="42"/>
      <c r="L12" s="25"/>
      <c r="M12" s="25"/>
      <c r="N12" s="3"/>
      <c r="O12" s="3"/>
    </row>
    <row r="13" spans="1:19" ht="10.199999999999999" x14ac:dyDescent="0.2">
      <c r="A13" s="3"/>
      <c r="B13" s="3"/>
      <c r="C13" s="216" t="s">
        <v>86</v>
      </c>
      <c r="D13" s="216"/>
      <c r="E13" s="216"/>
      <c r="F13" s="216"/>
      <c r="G13" s="42"/>
      <c r="H13" s="42"/>
      <c r="I13" s="178" t="s">
        <v>98</v>
      </c>
      <c r="J13" s="176"/>
      <c r="K13" s="176"/>
      <c r="L13" s="25"/>
      <c r="M13" s="25"/>
      <c r="N13" s="3"/>
      <c r="O13" s="3"/>
    </row>
    <row r="14" spans="1:19" s="70" customFormat="1" ht="7.5" customHeight="1" x14ac:dyDescent="0.2">
      <c r="A14" s="13"/>
      <c r="B14" s="13"/>
      <c r="C14" s="47"/>
      <c r="D14" s="47"/>
      <c r="E14" s="47"/>
      <c r="F14" s="47"/>
      <c r="G14" s="47"/>
      <c r="H14" s="48"/>
      <c r="I14" s="48"/>
      <c r="J14" s="48"/>
      <c r="K14" s="48"/>
      <c r="L14" s="48"/>
      <c r="M14" s="48"/>
      <c r="N14" s="14"/>
      <c r="O14" s="13"/>
    </row>
    <row r="15" spans="1:19" ht="57.75" customHeight="1" x14ac:dyDescent="0.2">
      <c r="A15" s="113" t="s">
        <v>47</v>
      </c>
      <c r="B15" s="113" t="s">
        <v>64</v>
      </c>
      <c r="C15" s="72" t="s">
        <v>107</v>
      </c>
      <c r="D15" s="72" t="s">
        <v>52</v>
      </c>
      <c r="E15" s="72" t="s">
        <v>51</v>
      </c>
      <c r="F15" s="72" t="s">
        <v>11</v>
      </c>
      <c r="G15" s="72" t="s">
        <v>50</v>
      </c>
      <c r="H15" s="72" t="s">
        <v>27</v>
      </c>
      <c r="I15" s="72" t="s">
        <v>95</v>
      </c>
      <c r="J15" s="72" t="s">
        <v>5</v>
      </c>
      <c r="K15" s="72" t="s">
        <v>96</v>
      </c>
      <c r="L15" s="102" t="s">
        <v>36</v>
      </c>
      <c r="M15" s="102" t="s">
        <v>46</v>
      </c>
      <c r="N15" s="113" t="s">
        <v>65</v>
      </c>
      <c r="O15" s="113" t="s">
        <v>66</v>
      </c>
    </row>
    <row r="16" spans="1:19" ht="22.5" customHeight="1" x14ac:dyDescent="0.2">
      <c r="A16" s="110"/>
      <c r="B16" s="110"/>
      <c r="C16" s="199"/>
      <c r="D16" s="217"/>
      <c r="E16" s="213"/>
      <c r="F16" s="199"/>
      <c r="G16" s="220"/>
      <c r="H16" s="219"/>
      <c r="I16"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6" s="73" t="str">
        <f>IFERROR(VLOOKUP(tblOverigeKostenVrijwilligers[[#This Row],[Activiteit (klik op de cel voor info en vul deze altijd in)]],Activiteiten[[Activiteit Nr.]:[Subsidie %]],3,0),"")</f>
        <v/>
      </c>
      <c r="K16" s="94" t="str">
        <f>IFERROR(((tblOverigeKostenVrijwilligers[[#This Row],[Kosten totaal]])*tblOverigeKostenVrijwilligers[[#This Row],[Subsidie %]]), "")</f>
        <v/>
      </c>
      <c r="L16" s="79"/>
      <c r="M16" s="79"/>
      <c r="N16" s="110"/>
      <c r="O16" s="110"/>
    </row>
    <row r="17" spans="1:19" ht="22.5" customHeight="1" x14ac:dyDescent="0.2">
      <c r="A17" s="110"/>
      <c r="B17" s="110"/>
      <c r="C17" s="199"/>
      <c r="D17" s="217"/>
      <c r="E17" s="213"/>
      <c r="F17" s="199"/>
      <c r="G17" s="220"/>
      <c r="H17" s="219"/>
      <c r="I17"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7" s="73" t="str">
        <f>IFERROR(VLOOKUP(tblOverigeKostenVrijwilligers[[#This Row],[Activiteit (klik op de cel voor info en vul deze altijd in)]],Activiteiten[[Activiteit Nr.]:[Subsidie %]],3,0),"")</f>
        <v/>
      </c>
      <c r="K17" s="94" t="str">
        <f>IFERROR(((tblOverigeKostenVrijwilligers[[#This Row],[Kosten totaal]])*tblOverigeKostenVrijwilligers[[#This Row],[Subsidie %]]), "")</f>
        <v/>
      </c>
      <c r="L17" s="79"/>
      <c r="M17" s="79"/>
      <c r="N17" s="110"/>
      <c r="O17" s="110"/>
    </row>
    <row r="18" spans="1:19" ht="22.5" customHeight="1" x14ac:dyDescent="0.2">
      <c r="A18" s="110"/>
      <c r="B18" s="110"/>
      <c r="C18" s="199"/>
      <c r="D18" s="217"/>
      <c r="E18" s="213"/>
      <c r="F18" s="199"/>
      <c r="G18" s="220"/>
      <c r="H18" s="219"/>
      <c r="I18"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8" s="73" t="str">
        <f>IFERROR(VLOOKUP(tblOverigeKostenVrijwilligers[[#This Row],[Activiteit (klik op de cel voor info en vul deze altijd in)]],Activiteiten[[Activiteit Nr.]:[Subsidie %]],3,0),"")</f>
        <v/>
      </c>
      <c r="K18" s="94" t="str">
        <f>IFERROR(((tblOverigeKostenVrijwilligers[[#This Row],[Kosten totaal]])*tblOverigeKostenVrijwilligers[[#This Row],[Subsidie %]]), "")</f>
        <v/>
      </c>
      <c r="L18" s="79"/>
      <c r="M18" s="79"/>
      <c r="N18" s="110"/>
      <c r="O18" s="110"/>
    </row>
    <row r="19" spans="1:19" ht="22.5" customHeight="1" x14ac:dyDescent="0.2">
      <c r="A19" s="110"/>
      <c r="B19" s="110"/>
      <c r="C19" s="199"/>
      <c r="D19" s="217"/>
      <c r="E19" s="213"/>
      <c r="F19" s="199"/>
      <c r="G19" s="220"/>
      <c r="H19" s="219"/>
      <c r="I19"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9" s="78" t="str">
        <f>IFERROR(VLOOKUP(tblOverigeKostenVrijwilligers[[#This Row],[Activiteit (klik op de cel voor info en vul deze altijd in)]],Activiteiten[[Activiteit Nr.]:[Subsidie %]],3,0),"")</f>
        <v/>
      </c>
      <c r="K19" s="94" t="str">
        <f>IFERROR(((tblOverigeKostenVrijwilligers[[#This Row],[Kosten totaal]])*tblOverigeKostenVrijwilligers[[#This Row],[Subsidie %]]), "")</f>
        <v/>
      </c>
      <c r="L19" s="79"/>
      <c r="M19" s="79"/>
      <c r="N19" s="110"/>
      <c r="O19" s="110"/>
    </row>
    <row r="20" spans="1:19" ht="22.5" customHeight="1" thickBot="1" x14ac:dyDescent="0.25">
      <c r="A20" s="110"/>
      <c r="B20" s="110"/>
      <c r="C20" s="199"/>
      <c r="D20" s="221"/>
      <c r="E20" s="213"/>
      <c r="F20" s="199"/>
      <c r="G20" s="220"/>
      <c r="H20" s="219"/>
      <c r="I20"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20" s="78" t="str">
        <f>IFERROR(VLOOKUP(tblOverigeKostenVrijwilligers[[#This Row],[Activiteit (klik op de cel voor info en vul deze altijd in)]],Activiteiten[[Activiteit Nr.]:[Subsidie %]],3,0),"")</f>
        <v/>
      </c>
      <c r="K20" s="94" t="str">
        <f>IFERROR(((tblOverigeKostenVrijwilligers[[#This Row],[Kosten totaal]])*tblOverigeKostenVrijwilligers[[#This Row],[Subsidie %]]), "")</f>
        <v/>
      </c>
      <c r="L20" s="79"/>
      <c r="M20" s="79"/>
      <c r="N20" s="110"/>
      <c r="O20" s="110"/>
    </row>
    <row r="21" spans="1:19" ht="27" customHeight="1" thickTop="1" x14ac:dyDescent="0.2">
      <c r="A21" s="25"/>
      <c r="B21" s="25"/>
      <c r="C21" s="257" t="s">
        <v>58</v>
      </c>
      <c r="D21" s="257"/>
      <c r="E21" s="257"/>
      <c r="F21" s="257"/>
      <c r="G21" s="257"/>
      <c r="H21" s="188" t="s">
        <v>103</v>
      </c>
      <c r="I21" s="165">
        <f>SUM(tblOverigeKostenVrijwilligers[Kosten totaal])</f>
        <v>0</v>
      </c>
      <c r="J21" s="52"/>
      <c r="K21" s="165">
        <f>SUM(tblOverigeKostenVrijwilligers[Subsidie aanvraag])</f>
        <v>0</v>
      </c>
      <c r="L21" s="152"/>
      <c r="M21" s="52"/>
      <c r="N21" s="52"/>
      <c r="O21" s="25"/>
    </row>
    <row r="22" spans="1:19" ht="19.5" customHeight="1" x14ac:dyDescent="0.2">
      <c r="A22" s="25"/>
      <c r="B22" s="25"/>
      <c r="C22" s="257"/>
      <c r="D22" s="257"/>
      <c r="E22" s="257"/>
      <c r="F22" s="257"/>
      <c r="G22" s="257"/>
      <c r="H22" s="172"/>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 xml:space="preserve">Het inrichten en oprichten van een LEI </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2500</v>
      </c>
      <c r="M26" s="251">
        <f t="shared" ref="M26:M29" si="0">IFERROR((IF(L26&gt;J26,L26-J26,0)),"")</f>
        <v>2500</v>
      </c>
      <c r="N26" s="251"/>
      <c r="O26" s="25"/>
    </row>
    <row r="27" spans="1:19" ht="18" customHeight="1" x14ac:dyDescent="0.2">
      <c r="A27" s="3"/>
      <c r="B27" s="3"/>
      <c r="C27" s="49">
        <f>IF(Beginpagina!$C$23=0,"",Beginpagina!$C$23)</f>
        <v>2</v>
      </c>
      <c r="D27" s="259" t="str">
        <f>IF(Beginpagina!$D$23=0,"",Beginpagina!$D$23)</f>
        <v xml:space="preserve">Uitvoeren van een energiebesparingsproject/eenvoudige energiebesparingsmaatregelen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f>_xlfn.IFNA(VLOOKUP(C27,Beginpagina!$C$21:$G$26,5,0),"")</f>
        <v>10000</v>
      </c>
      <c r="M27" s="251">
        <f t="shared" si="0"/>
        <v>10000</v>
      </c>
      <c r="N27" s="251"/>
      <c r="O27" s="25"/>
    </row>
    <row r="28" spans="1:19" ht="18" customHeight="1" x14ac:dyDescent="0.2">
      <c r="A28" s="3"/>
      <c r="B28" s="3"/>
      <c r="C28" s="49">
        <f>IF(Beginpagina!$C$24=0,"",Beginpagina!$C$24)</f>
        <v>3</v>
      </c>
      <c r="D28" s="259" t="str">
        <f>IF(Beginpagina!$D$24=0,"",Beginpagina!$D$24)</f>
        <v xml:space="preserve">Opleiden van vrijwilligers tot energiefixer of energiebesparingscoach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f>_xlfn.IFNA(VLOOKUP(C28,Beginpagina!$C$21:$G$26,5,0),"")</f>
        <v>2500</v>
      </c>
      <c r="M28" s="251">
        <f t="shared" si="0"/>
        <v>2500</v>
      </c>
      <c r="N28" s="251"/>
      <c r="O28" s="25"/>
    </row>
    <row r="29" spans="1:19" ht="18" customHeight="1" x14ac:dyDescent="0.2">
      <c r="A29" s="3"/>
      <c r="B29" s="3"/>
      <c r="C29" s="49">
        <f>IF(Beginpagina!$C$25=0,"",Beginpagina!$C$25)</f>
        <v>4</v>
      </c>
      <c r="D29" s="259" t="str">
        <f>IF(Beginpagina!$D$25=0,"",Beginpagina!$D$25)</f>
        <v xml:space="preserve">Het voorbereiden van een energieopwekproject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f>_xlfn.IFNA(VLOOKUP(C29,Beginpagina!$C$21:$G$26,5,0),"")</f>
        <v>5000</v>
      </c>
      <c r="M29" s="251">
        <f t="shared" si="0"/>
        <v>5000</v>
      </c>
      <c r="N29" s="251"/>
      <c r="O29" s="25"/>
    </row>
    <row r="30" spans="1:19" ht="18" customHeight="1" x14ac:dyDescent="0.2">
      <c r="A30" s="3"/>
      <c r="B30" s="3"/>
      <c r="C30" s="49">
        <f>IF(Beginpagina!$C$26=0,"",Beginpagina!$C$26)</f>
        <v>5</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f>_xlfn.IFNA(VLOOKUP(C30,Beginpagina!$C$21:$G$26,5,0),"")</f>
        <v>10000</v>
      </c>
      <c r="M30" s="251">
        <f>IFERROR((IF(L30&gt;J30,L30-J30,0)),"")</f>
        <v>10000</v>
      </c>
      <c r="N30" s="251"/>
      <c r="O30" s="25"/>
    </row>
    <row r="31" spans="1:19" ht="7.5" customHeight="1" x14ac:dyDescent="0.2">
      <c r="A31" s="3"/>
      <c r="B31" s="3"/>
      <c r="C31" s="81">
        <f>(MAX(Activiteiten[[#All],[Activiteit Nr.]])+1)</f>
        <v>6</v>
      </c>
      <c r="D31" s="42"/>
      <c r="E31" s="42"/>
      <c r="F31" s="42"/>
      <c r="G31" s="42"/>
      <c r="H31" s="42"/>
      <c r="I31" s="42"/>
      <c r="J31" s="42"/>
      <c r="K31" s="25"/>
      <c r="L31" s="25"/>
      <c r="M31" s="21"/>
      <c r="N31" s="3"/>
      <c r="O31" s="3"/>
    </row>
    <row r="32" spans="1:19" ht="16.2" x14ac:dyDescent="0.3">
      <c r="A32" s="3"/>
      <c r="B32" s="3"/>
      <c r="C32" s="53" t="s">
        <v>31</v>
      </c>
      <c r="D32" s="53"/>
      <c r="E32" s="53"/>
      <c r="F32" s="53"/>
      <c r="G32" s="53"/>
      <c r="H32" s="54"/>
      <c r="I32" s="54"/>
      <c r="J32" s="54"/>
      <c r="K32" s="54"/>
      <c r="L32" s="42"/>
      <c r="M32" s="42"/>
      <c r="N32" s="2"/>
      <c r="O32" s="2"/>
      <c r="P32" s="69"/>
      <c r="Q32" s="69"/>
      <c r="R32" s="69"/>
      <c r="S32" s="69"/>
    </row>
    <row r="33" spans="1:19" ht="10.199999999999999" x14ac:dyDescent="0.2">
      <c r="A33" s="3"/>
      <c r="B33" s="3"/>
      <c r="C33" s="54"/>
      <c r="D33" s="54"/>
      <c r="E33" s="54"/>
      <c r="F33" s="54"/>
      <c r="G33" s="54"/>
      <c r="H33" s="54"/>
      <c r="I33" s="54"/>
      <c r="J33" s="54"/>
      <c r="K33" s="54"/>
      <c r="L33" s="42"/>
      <c r="M33" s="42"/>
      <c r="N33" s="2"/>
      <c r="O33" s="2"/>
      <c r="P33" s="69"/>
      <c r="Q33" s="69"/>
      <c r="R33" s="69"/>
      <c r="S33" s="69"/>
    </row>
    <row r="34" spans="1:19" ht="10.5" customHeight="1" x14ac:dyDescent="0.2">
      <c r="A34" s="3"/>
      <c r="B34" s="3"/>
      <c r="C34" s="256" t="s">
        <v>84</v>
      </c>
      <c r="D34" s="256"/>
      <c r="E34" s="256"/>
      <c r="F34" s="256"/>
      <c r="G34" s="256"/>
      <c r="H34" s="256"/>
      <c r="I34" s="256"/>
      <c r="J34" s="256"/>
      <c r="K34" s="55"/>
      <c r="L34" s="55"/>
      <c r="M34" s="55"/>
      <c r="N34" s="33"/>
      <c r="O34"/>
      <c r="P34" s="71"/>
      <c r="Q34" s="71"/>
      <c r="R34" s="71"/>
      <c r="S34" s="71"/>
    </row>
    <row r="35" spans="1:19" ht="10.5" customHeight="1" x14ac:dyDescent="0.2">
      <c r="A35" s="3"/>
      <c r="B35" s="3"/>
      <c r="C35" s="256"/>
      <c r="D35" s="256"/>
      <c r="E35" s="256"/>
      <c r="F35" s="256"/>
      <c r="G35" s="256"/>
      <c r="H35" s="256"/>
      <c r="I35" s="256"/>
      <c r="J35" s="256"/>
      <c r="K35" s="55"/>
      <c r="L35" s="55"/>
      <c r="M35" s="55"/>
      <c r="N35" s="33"/>
      <c r="O35" s="3"/>
    </row>
    <row r="36" spans="1:19" ht="10.5" customHeight="1" x14ac:dyDescent="0.2">
      <c r="A36" s="3"/>
      <c r="B36" s="3"/>
      <c r="C36" s="256"/>
      <c r="D36" s="256"/>
      <c r="E36" s="256"/>
      <c r="F36" s="256"/>
      <c r="G36" s="256"/>
      <c r="H36" s="256"/>
      <c r="I36" s="256"/>
      <c r="J36" s="256"/>
      <c r="K36" s="25"/>
      <c r="L36" s="25"/>
      <c r="M36" s="25"/>
      <c r="N36" s="3"/>
      <c r="O36" s="3"/>
    </row>
    <row r="37" spans="1:19" ht="10.5" customHeight="1" x14ac:dyDescent="0.2">
      <c r="A37" s="3"/>
      <c r="B37" s="3"/>
      <c r="C37" s="256"/>
      <c r="D37" s="256"/>
      <c r="E37" s="256"/>
      <c r="F37" s="256"/>
      <c r="G37" s="256"/>
      <c r="H37" s="256"/>
      <c r="I37" s="256"/>
      <c r="J37" s="256"/>
      <c r="K37" s="25"/>
      <c r="L37" s="25"/>
      <c r="M37" s="25"/>
      <c r="N37" s="3"/>
      <c r="O37" s="3"/>
    </row>
    <row r="38" spans="1:19" ht="10.199999999999999" x14ac:dyDescent="0.2">
      <c r="A38" s="3"/>
      <c r="B38" s="3"/>
      <c r="C38" s="25"/>
      <c r="D38" s="25"/>
      <c r="E38" s="25"/>
      <c r="F38" s="25"/>
      <c r="G38" s="25"/>
      <c r="H38" s="25"/>
      <c r="I38" s="25"/>
      <c r="J38" s="25"/>
      <c r="K38" s="25"/>
      <c r="L38" s="25"/>
      <c r="M38" s="25"/>
      <c r="N38" s="3"/>
      <c r="O38" s="3"/>
    </row>
    <row r="39" spans="1:19" ht="10.199999999999999" x14ac:dyDescent="0.2">
      <c r="A39" s="3"/>
      <c r="B39" s="3"/>
      <c r="C39" s="25"/>
      <c r="D39" s="25"/>
      <c r="E39" s="25"/>
      <c r="F39" s="25"/>
      <c r="G39" s="25"/>
      <c r="H39" s="25"/>
      <c r="I39" s="25"/>
      <c r="J39" s="25"/>
      <c r="K39" s="25"/>
      <c r="L39" s="25"/>
      <c r="M39" s="25"/>
      <c r="N39" s="3"/>
      <c r="O39" s="3"/>
    </row>
    <row r="40" spans="1:19" ht="10.199999999999999" x14ac:dyDescent="0.2">
      <c r="A40" s="3"/>
      <c r="B40" s="3"/>
      <c r="C40" s="25"/>
      <c r="D40" s="25"/>
      <c r="E40" s="25"/>
      <c r="F40" s="25"/>
      <c r="G40" s="25"/>
      <c r="H40" s="25"/>
      <c r="I40" s="25"/>
      <c r="J40" s="25"/>
      <c r="K40" s="25"/>
      <c r="L40" s="25"/>
      <c r="M40" s="25"/>
      <c r="N40" s="3"/>
      <c r="O40" s="3"/>
    </row>
    <row r="41" spans="1:19" ht="10.199999999999999" x14ac:dyDescent="0.2">
      <c r="A41" s="3"/>
      <c r="B41" s="3"/>
      <c r="C41" s="25"/>
      <c r="D41" s="25"/>
      <c r="E41" s="25"/>
      <c r="F41" s="25"/>
      <c r="G41" s="25"/>
      <c r="H41" s="25"/>
      <c r="I41" s="25"/>
      <c r="J41" s="25"/>
      <c r="K41" s="25"/>
      <c r="L41" s="25"/>
      <c r="M41" s="25"/>
      <c r="N41" s="3"/>
      <c r="O41" s="3"/>
    </row>
    <row r="42" spans="1:19" ht="10.199999999999999" x14ac:dyDescent="0.2">
      <c r="A42" s="3"/>
      <c r="B42" s="3"/>
      <c r="C42" s="25"/>
      <c r="D42" s="25"/>
      <c r="E42" s="25"/>
      <c r="F42" s="25"/>
      <c r="G42" s="25"/>
      <c r="H42" s="25"/>
      <c r="I42" s="25"/>
      <c r="J42" s="25"/>
      <c r="K42" s="25"/>
      <c r="L42" s="25"/>
      <c r="M42" s="25"/>
      <c r="N42" s="3"/>
      <c r="O42" s="3"/>
    </row>
    <row r="43" spans="1:19" ht="10.199999999999999" x14ac:dyDescent="0.2">
      <c r="A43" s="3"/>
      <c r="B43" s="3"/>
      <c r="C43" s="25"/>
      <c r="D43" s="25"/>
      <c r="E43" s="25"/>
      <c r="F43" s="25"/>
      <c r="G43" s="25"/>
      <c r="H43" s="25"/>
      <c r="I43" s="25"/>
      <c r="J43" s="25"/>
      <c r="K43" s="25"/>
      <c r="L43" s="25"/>
      <c r="M43" s="25"/>
      <c r="N43" s="3"/>
      <c r="O43" s="3"/>
    </row>
    <row r="44" spans="1:19" ht="10.199999999999999" x14ac:dyDescent="0.2">
      <c r="A44" s="3"/>
      <c r="B44" s="3"/>
      <c r="C44" s="25"/>
      <c r="D44" s="25"/>
      <c r="E44" s="25"/>
      <c r="F44" s="25"/>
      <c r="G44" s="25"/>
      <c r="H44" s="25"/>
      <c r="I44" s="25"/>
      <c r="J44" s="25"/>
      <c r="K44" s="25"/>
      <c r="L44" s="25"/>
      <c r="M44" s="25"/>
      <c r="N44" s="3"/>
      <c r="O44" s="3"/>
    </row>
    <row r="45" spans="1:19" ht="10.199999999999999" x14ac:dyDescent="0.2">
      <c r="A45" s="3"/>
      <c r="B45" s="3"/>
      <c r="C45" s="25"/>
      <c r="D45" s="25"/>
      <c r="E45" s="25"/>
      <c r="F45" s="25"/>
      <c r="G45" s="25"/>
      <c r="H45" s="25"/>
      <c r="I45" s="25"/>
      <c r="J45" s="25"/>
      <c r="K45" s="25"/>
      <c r="L45" s="25"/>
      <c r="M45" s="25"/>
      <c r="N45" s="3"/>
      <c r="O45" s="3"/>
    </row>
    <row r="46" spans="1:19" ht="10.199999999999999" x14ac:dyDescent="0.2">
      <c r="A46" s="3"/>
      <c r="B46" s="3"/>
      <c r="C46" s="25"/>
      <c r="D46" s="25"/>
      <c r="E46" s="25"/>
      <c r="F46" s="25"/>
      <c r="G46" s="25"/>
      <c r="H46" s="25"/>
      <c r="I46" s="25"/>
      <c r="J46" s="25"/>
      <c r="K46" s="25"/>
      <c r="L46" s="25"/>
      <c r="M46" s="25"/>
      <c r="N46" s="3"/>
      <c r="O46" s="3"/>
    </row>
    <row r="47" spans="1:19" ht="10.199999999999999" x14ac:dyDescent="0.2">
      <c r="A47" s="3"/>
      <c r="B47" s="3"/>
      <c r="C47" s="25"/>
      <c r="D47" s="25"/>
      <c r="E47" s="25"/>
      <c r="F47" s="25"/>
      <c r="G47" s="25"/>
      <c r="H47" s="25"/>
      <c r="I47" s="25"/>
      <c r="J47" s="25"/>
      <c r="K47" s="25"/>
      <c r="L47" s="25"/>
      <c r="M47" s="25"/>
      <c r="N47" s="3"/>
      <c r="O47" s="3"/>
    </row>
    <row r="48" spans="1:19" ht="10.199999999999999" x14ac:dyDescent="0.2">
      <c r="A48" s="3"/>
      <c r="B48" s="3"/>
      <c r="C48" s="25"/>
      <c r="D48" s="25"/>
      <c r="E48" s="25"/>
      <c r="F48" s="25"/>
      <c r="G48" s="25"/>
      <c r="H48" s="25"/>
      <c r="I48" s="25"/>
      <c r="J48" s="25"/>
      <c r="K48" s="25"/>
      <c r="L48" s="25"/>
      <c r="M48" s="25"/>
      <c r="N48" s="3"/>
      <c r="O48" s="3"/>
    </row>
    <row r="49" spans="1:15" ht="10.199999999999999" x14ac:dyDescent="0.2">
      <c r="A49" s="3"/>
      <c r="B49" s="3"/>
      <c r="C49" s="25"/>
      <c r="D49" s="25"/>
      <c r="E49" s="25"/>
      <c r="F49" s="25"/>
      <c r="G49" s="25"/>
      <c r="H49" s="25"/>
      <c r="I49" s="25"/>
      <c r="J49" s="25"/>
      <c r="K49" s="25"/>
      <c r="L49" s="25"/>
      <c r="M49" s="25"/>
      <c r="N49" s="3"/>
      <c r="O49" s="3"/>
    </row>
    <row r="50" spans="1:15" ht="10.199999999999999" x14ac:dyDescent="0.2">
      <c r="A50" s="3"/>
      <c r="B50" s="3"/>
      <c r="C50" s="25"/>
      <c r="D50" s="25"/>
      <c r="E50" s="25"/>
      <c r="F50" s="25"/>
      <c r="G50" s="25"/>
      <c r="H50" s="25"/>
      <c r="I50" s="25"/>
      <c r="J50" s="25"/>
      <c r="K50" s="25"/>
      <c r="L50" s="25"/>
      <c r="M50" s="25"/>
      <c r="N50" s="3"/>
      <c r="O50" s="3"/>
    </row>
    <row r="51" spans="1:15" ht="10.199999999999999" x14ac:dyDescent="0.2">
      <c r="A51" s="3"/>
      <c r="B51" s="3"/>
      <c r="C51" s="25"/>
      <c r="D51" s="25"/>
      <c r="E51" s="25"/>
      <c r="F51" s="25"/>
      <c r="G51" s="25"/>
      <c r="H51" s="25"/>
      <c r="I51" s="25"/>
      <c r="J51" s="25"/>
      <c r="K51" s="25"/>
      <c r="L51" s="25"/>
      <c r="M51" s="25"/>
      <c r="N51" s="3"/>
      <c r="O51" s="3"/>
    </row>
    <row r="52" spans="1:15" ht="10.199999999999999" x14ac:dyDescent="0.2">
      <c r="A52" s="3"/>
      <c r="B52" s="3"/>
      <c r="C52" s="25"/>
      <c r="D52" s="25"/>
      <c r="E52" s="25"/>
      <c r="F52" s="25"/>
      <c r="G52" s="25"/>
      <c r="H52" s="25"/>
      <c r="I52" s="25"/>
      <c r="J52" s="25"/>
      <c r="K52" s="25"/>
      <c r="L52" s="25"/>
      <c r="M52" s="25"/>
      <c r="N52" s="3"/>
      <c r="O52" s="3"/>
    </row>
    <row r="53" spans="1:15" ht="10.199999999999999" x14ac:dyDescent="0.2">
      <c r="A53" s="3"/>
      <c r="B53" s="3"/>
      <c r="C53" s="25"/>
      <c r="D53" s="25"/>
      <c r="E53" s="25"/>
      <c r="F53" s="25"/>
      <c r="G53" s="25"/>
      <c r="H53" s="25"/>
      <c r="I53" s="25"/>
      <c r="J53" s="25"/>
      <c r="K53" s="25"/>
      <c r="L53" s="25"/>
      <c r="M53" s="25"/>
      <c r="N53" s="3"/>
      <c r="O53" s="3"/>
    </row>
    <row r="54" spans="1:15" ht="10.199999999999999" x14ac:dyDescent="0.2">
      <c r="A54" s="3"/>
      <c r="B54" s="3"/>
      <c r="C54" s="25"/>
      <c r="D54" s="25"/>
      <c r="E54" s="25"/>
      <c r="F54" s="25"/>
      <c r="G54" s="25"/>
      <c r="H54" s="25"/>
      <c r="I54" s="25"/>
      <c r="J54" s="25"/>
      <c r="K54" s="25"/>
      <c r="L54" s="25"/>
      <c r="M54" s="25"/>
      <c r="N54" s="3"/>
      <c r="O54" s="3"/>
    </row>
    <row r="55" spans="1:15" ht="10.199999999999999" x14ac:dyDescent="0.2">
      <c r="A55" s="3"/>
      <c r="B55" s="3"/>
      <c r="C55" s="25"/>
      <c r="D55" s="25"/>
      <c r="E55" s="25"/>
      <c r="F55" s="25"/>
      <c r="G55" s="25"/>
      <c r="H55" s="25"/>
      <c r="I55" s="25"/>
      <c r="J55" s="25"/>
      <c r="K55" s="25"/>
      <c r="L55" s="25"/>
      <c r="M55" s="25"/>
      <c r="N55" s="3"/>
      <c r="O55" s="3"/>
    </row>
    <row r="56" spans="1:15" ht="10.199999999999999" x14ac:dyDescent="0.2">
      <c r="A56" s="3"/>
      <c r="B56" s="3"/>
      <c r="C56" s="25"/>
      <c r="D56" s="25"/>
      <c r="E56" s="25"/>
      <c r="F56" s="25"/>
      <c r="G56" s="25"/>
      <c r="H56" s="25"/>
      <c r="I56" s="25"/>
      <c r="J56" s="25"/>
      <c r="K56" s="25"/>
      <c r="L56" s="25"/>
      <c r="M56" s="25"/>
      <c r="N56" s="3"/>
      <c r="O56" s="3"/>
    </row>
    <row r="57" spans="1:15" ht="10.199999999999999" x14ac:dyDescent="0.2">
      <c r="A57" s="3"/>
      <c r="B57" s="3"/>
      <c r="C57" s="25"/>
      <c r="D57" s="25"/>
      <c r="E57" s="25"/>
      <c r="F57" s="25"/>
      <c r="G57" s="25"/>
      <c r="H57" s="25"/>
      <c r="I57" s="25"/>
      <c r="J57" s="25"/>
      <c r="K57" s="25"/>
      <c r="L57" s="25"/>
      <c r="M57" s="25"/>
      <c r="N57" s="3"/>
      <c r="O57" s="3"/>
    </row>
    <row r="58" spans="1:15" ht="10.199999999999999" x14ac:dyDescent="0.2">
      <c r="A58" s="3"/>
      <c r="B58" s="3"/>
      <c r="C58" s="25"/>
      <c r="D58" s="25"/>
      <c r="E58" s="25"/>
      <c r="F58" s="25"/>
      <c r="G58" s="25"/>
      <c r="H58" s="25"/>
      <c r="I58" s="25"/>
      <c r="J58" s="25"/>
      <c r="K58" s="25"/>
      <c r="L58" s="25"/>
      <c r="M58" s="25"/>
      <c r="N58" s="3"/>
      <c r="O58" s="3"/>
    </row>
    <row r="59" spans="1:15" ht="10.199999999999999" x14ac:dyDescent="0.2">
      <c r="A59" s="3"/>
      <c r="B59" s="3"/>
      <c r="C59" s="25"/>
      <c r="D59" s="25"/>
      <c r="E59" s="25"/>
      <c r="F59" s="25"/>
      <c r="G59" s="25"/>
      <c r="H59" s="25"/>
      <c r="I59" s="25"/>
      <c r="J59" s="25"/>
      <c r="K59" s="25"/>
      <c r="L59" s="25"/>
      <c r="M59" s="25"/>
      <c r="N59" s="3"/>
      <c r="O59" s="3"/>
    </row>
    <row r="60" spans="1:15" ht="10.8" thickBot="1" x14ac:dyDescent="0.25">
      <c r="A60" s="3"/>
      <c r="B60" s="3"/>
      <c r="C60" s="25"/>
      <c r="D60" s="25"/>
      <c r="E60" s="25"/>
      <c r="F60" s="25"/>
      <c r="G60" s="25"/>
      <c r="H60" s="25"/>
      <c r="I60" s="25"/>
      <c r="J60" s="25"/>
      <c r="K60" s="25"/>
      <c r="L60" s="25"/>
      <c r="M60" s="25"/>
      <c r="N60" s="3"/>
      <c r="O60" s="3"/>
    </row>
    <row r="61" spans="1:15" s="70" customFormat="1" ht="18" customHeight="1" x14ac:dyDescent="0.2">
      <c r="A61" s="13"/>
      <c r="B61" s="13"/>
      <c r="C61" s="56" t="str">
        <f>CONCATENATE("Subsidieaanvraag voor ",Beginpagina!$D$7)</f>
        <v>Subsidieaanvraag voor Paragraaf 3.6 Lokale energie-initiatieven 4.0</v>
      </c>
      <c r="D61" s="56"/>
      <c r="E61" s="56"/>
      <c r="F61" s="56"/>
      <c r="G61" s="56"/>
      <c r="H61" s="57"/>
      <c r="I61" s="57"/>
      <c r="J61" s="258" t="s">
        <v>25</v>
      </c>
      <c r="K61" s="258"/>
      <c r="L61" s="258"/>
      <c r="M61" s="258"/>
      <c r="N61" s="37"/>
      <c r="O61" s="13"/>
    </row>
    <row r="62" spans="1:15" ht="10.5" customHeight="1" x14ac:dyDescent="0.2"/>
    <row r="63" spans="1:15" ht="10.5" customHeight="1" x14ac:dyDescent="0.2"/>
    <row r="64" spans="1:15"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sheetData>
  <sheetProtection deleteRows="0"/>
  <mergeCells count="21">
    <mergeCell ref="C21:G22"/>
    <mergeCell ref="C24:N24"/>
    <mergeCell ref="C34:J37"/>
    <mergeCell ref="J61:M61"/>
    <mergeCell ref="M30:N30"/>
    <mergeCell ref="M25:N25"/>
    <mergeCell ref="D26:I26"/>
    <mergeCell ref="J26:K26"/>
    <mergeCell ref="M26:N26"/>
    <mergeCell ref="M28:N28"/>
    <mergeCell ref="J29:K29"/>
    <mergeCell ref="J30:K30"/>
    <mergeCell ref="D30:I30"/>
    <mergeCell ref="J25:K25"/>
    <mergeCell ref="D29:I29"/>
    <mergeCell ref="M29:N29"/>
    <mergeCell ref="M27:N27"/>
    <mergeCell ref="D28:I28"/>
    <mergeCell ref="D27:I27"/>
    <mergeCell ref="J27:K27"/>
    <mergeCell ref="J28:K28"/>
  </mergeCells>
  <conditionalFormatting sqref="C26:I30 L26:N30">
    <cfRule type="expression" dxfId="77" priority="13">
      <formula>$C26&lt;&gt;""</formula>
    </cfRule>
  </conditionalFormatting>
  <conditionalFormatting sqref="M26:N30">
    <cfRule type="expression" dxfId="76" priority="9">
      <formula>$N26&lt;0</formula>
    </cfRule>
  </conditionalFormatting>
  <conditionalFormatting sqref="J26:K30">
    <cfRule type="expression" dxfId="75" priority="1">
      <formula>$C26&lt;&gt;""</formula>
    </cfRule>
  </conditionalFormatting>
  <conditionalFormatting sqref="J26:K30">
    <cfRule type="expression" dxfId="74" priority="2">
      <formula>$I26&gt;$L26</formula>
    </cfRule>
  </conditionalFormatting>
  <dataValidations count="8">
    <dataValidation allowBlank="1" showInputMessage="1" sqref="D16:D20" xr:uid="{00000000-0002-0000-05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500-000001000000}">
      <formula1>C31</formula1>
    </dataValidation>
    <dataValidation type="whole" operator="greaterThan" allowBlank="1" showInputMessage="1" showErrorMessage="1" sqref="F16:F20" xr:uid="{00000000-0002-0000-0500-000002000000}">
      <formula1>0</formula1>
    </dataValidation>
    <dataValidation type="decimal" operator="greaterThan" allowBlank="1" showInputMessage="1" showErrorMessage="1" error="Een punt is niet toegestaan. Gebruik een komma." sqref="G16:G20" xr:uid="{00000000-0002-0000-0500-000003000000}">
      <formula1>0</formula1>
    </dataValidation>
    <dataValidation type="custom" allowBlank="1" showInputMessage="1" showErrorMessage="1" error="Hier a.u.b. geen wijzigingen" sqref="O17 L7 H54 L17 L5 J22 H7 C10 B54 C6 C5 A54 O54 O55 O56 O57 O58 O44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C13 D5 D6 C7 C8 C9 D10 C11 C12 C14 C21 C22 C23 C24 C26 C27 C28 C29 C30 C31 C32 C33 C34 C35 C36 C37 C38 C39 C40 C41 C42 C43 C44 C45 C46 C47 C48 C49 C50 C51 C52 C53 D54 C55 C56 C57 C58 C59 C60 C61 D1 D2 D3 D4 D13 E5 E6 D7 D8 D9 E10 D11 D12 D14 D21 D22 D23 D24 D26 D27 D28 D29 D30 D31 D32 D33 D34 D35 D36 D37 D38 D39 D40 D41 D42 D43 D44 D45 D46 D47 D48 D49 D50 D51 D52 D53 E54 D55 D56 D57 D58 D59 D60 D61 E1 E2 E3 E4 E13 F5 F6 E7 E8 E9 F10 E11 E12 E14 E21 E22 E23 E24 E26 E27 E28 E29 E30 E31 E32 E33 E34 E35 E36 E37 E38 E39 E40 E41 E42 E43 E44 E45 E46 E47 E48 E49 E50 E51 E52 E53 F54 E55 E56 E57 E58 E59 E60 E61 F1 F2 F3 F4 F13 G6 G7 F7 F8 F9 G11 F11 F12 F14 F21 F22 F23 F24 F26 F27 F28 F29 F30 F31 F32 F33 F34 F35 F36 F37 F38 F39 F40 F41 F42 F43 F44 F45 F46 F47 F48 F49 F50 F51 F52 F53 G54 F55 F56 F57 F58 F59 F60 F61 G1 G2 G3 G4 G5 H6 G8 G9 G10 H10 G12 G13 G14 G21 G22 G23 G24 G26 G27 G28 G29 G30 G31 G32 G33 G34 G35 G36 G37 G38 G39 G40 G41 G42 G43 G44 G45 G46 G47 G48 G49 G50 G51 G52 G53 G55 G56 G57 G58 G59 G60 G61 H1 H2 H3 H4 H5 I5 I6 H8 H9 I9 H11 H12 H13 H14 H22 H23 H24 H26 H27 H28 H29 H30 H31 H32 H33 H34 H35 H36 H37 H38 H39 H40 H41 H42 H43 H44 H45 H46 H47 H48 H49 H50 H51 H52 H53 I54 H55 H56 H57 H58 H59 H60 H61 I1 I2 I3 I4 J5 J7 I7 I8 I10 I11 I12 I14 I22 I23 I24 I26 I27 I28 I29 I30 I31 I32 I33 I34 I35 I36 I37 I38 I39 I40 I41 I42 I43 I44 I45 I46 I47 I48 I49 I50 I51 I52 I53 J54 I55 I56 I57 I58 I59 I60 I61 J1 J2 J3 J4 K5 J6 K6 J8 J9 J10 J11 J12 J14 J21 K22 O53 O45 O46 O47 O48 J29 J30 J31 J32 J33 J34 J35 J36 J37 J38 J39 J40 J41 J42 J43 J44 J45 J46 J47 J48 J49 J50 J51 J52 J53 K54 J55 J56 J57 J58 J59 J60 J61 K1 K2 K3 K4 L6 K7 K8 K9 K10 K11 K12 K14 O59 O49 O50 O51 O52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J23 J24 J26 J27 J28 K23 K24 K26 K27 K28 O61" xr:uid="{00000000-0002-0000-0500-000004000000}">
      <formula1>FALSE</formula1>
    </dataValidation>
    <dataValidation type="custom" allowBlank="1" showInputMessage="1" showErrorMessage="1" sqref="K21 I16:K20 H21:I21" xr:uid="{00000000-0002-0000-0500-000040030000}">
      <formula1>FALSE</formula1>
    </dataValidation>
    <dataValidation allowBlank="1" showInputMessage="1" showErrorMessage="1" error="Hier a.u.b. geen wijzigingen" sqref="I13:K13" xr:uid="{00000000-0002-0000-0500-000041030000}"/>
    <dataValidation allowBlank="1" showInputMessage="1" showErrorMessage="1" prompt="Kies voor welke activiteit u deze kosten maakt. Gebruik hiervoor het nummer in onderstaande tabel &quot;Subsidiabele Activiteiten&quot;." sqref="C15" xr:uid="{00000000-0002-0000-0500-000042030000}"/>
  </dataValidations>
  <pageMargins left="0.7" right="0.7" top="0.75" bottom="0.75" header="0.3" footer="0.3"/>
  <pageSetup paperSize="9" scale="77" fitToHeight="0" orientation="landscape" verticalDpi="0" r:id="rId1"/>
  <ignoredErrors>
    <ignoredError sqref="G17:G20" calculatedColumn="1"/>
    <ignoredError sqref="I16:K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3"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500-000043030000}">
          <x14:formula1>
            <xm:f>'(Loon)kosten derden'!$Q$16:$Q$18</xm:f>
          </x14:formula1>
          <xm:sqref>H16:H20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7">
    <pageSetUpPr fitToPage="1"/>
  </sheetPr>
  <dimension ref="A1:V83"/>
  <sheetViews>
    <sheetView showGridLines="0" zoomScaleNormal="100" workbookViewId="0">
      <selection activeCell="C21" sqref="C21"/>
    </sheetView>
  </sheetViews>
  <sheetFormatPr defaultColWidth="9.125" defaultRowHeight="0" customHeight="1" zeroHeight="1" x14ac:dyDescent="0.2"/>
  <cols>
    <col min="1" max="2" width="2.875" style="68" customWidth="1"/>
    <col min="3" max="3" width="11.625" style="68" customWidth="1"/>
    <col min="4" max="4" width="12.125" style="68" customWidth="1"/>
    <col min="5" max="5" width="11.875" style="68" customWidth="1"/>
    <col min="6" max="6" width="12.125" style="68" customWidth="1"/>
    <col min="7" max="7" width="9.25" style="68" customWidth="1"/>
    <col min="8" max="8" width="12.125" style="68" customWidth="1"/>
    <col min="9" max="9" width="9.25" style="68" customWidth="1"/>
    <col min="10" max="10" width="10.5" style="68" customWidth="1"/>
    <col min="11" max="11" width="10.75" style="68" customWidth="1"/>
    <col min="12" max="12" width="12.625" style="68" customWidth="1"/>
    <col min="13" max="13" width="11.125" style="68" customWidth="1"/>
    <col min="14" max="14" width="12.625" style="68" customWidth="1"/>
    <col min="15" max="15" width="3.62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2"/>
      <c r="N1" s="2"/>
      <c r="O1" s="2"/>
      <c r="P1" s="69"/>
      <c r="Q1" s="69"/>
      <c r="R1" s="69"/>
      <c r="S1" s="69"/>
    </row>
    <row r="2" spans="1:19" ht="10.199999999999999" x14ac:dyDescent="0.2">
      <c r="A2" s="2"/>
      <c r="B2" s="2"/>
      <c r="C2" s="25"/>
      <c r="D2" s="25"/>
      <c r="E2" s="25"/>
      <c r="F2" s="25"/>
      <c r="G2" s="25"/>
      <c r="H2" s="42"/>
      <c r="I2" s="42"/>
      <c r="J2" s="42"/>
      <c r="K2" s="42"/>
      <c r="L2" s="25"/>
      <c r="M2" s="3"/>
      <c r="N2" s="3"/>
      <c r="O2" s="2"/>
      <c r="P2" s="69"/>
      <c r="Q2" s="69"/>
      <c r="R2" s="69"/>
      <c r="S2" s="69"/>
    </row>
    <row r="3" spans="1:19" ht="10.199999999999999" x14ac:dyDescent="0.2">
      <c r="A3" s="2"/>
      <c r="B3" s="2"/>
      <c r="C3" s="43"/>
      <c r="D3" s="43"/>
      <c r="E3" s="43"/>
      <c r="F3" s="43"/>
      <c r="G3" s="43"/>
      <c r="H3" s="42"/>
      <c r="I3" s="42"/>
      <c r="J3" s="42"/>
      <c r="K3" s="42"/>
      <c r="L3" s="25"/>
      <c r="M3" s="3"/>
      <c r="N3" s="3"/>
      <c r="O3" s="2"/>
      <c r="P3" s="69"/>
      <c r="Q3" s="69"/>
      <c r="R3" s="69"/>
      <c r="S3" s="69"/>
    </row>
    <row r="4" spans="1:19" ht="17.399999999999999" x14ac:dyDescent="0.3">
      <c r="A4" s="3"/>
      <c r="B4" s="3"/>
      <c r="C4" s="44"/>
      <c r="D4" s="44"/>
      <c r="E4" s="44"/>
      <c r="F4" s="44"/>
      <c r="G4" s="44"/>
      <c r="H4" s="42"/>
      <c r="I4" s="42"/>
      <c r="J4" s="42"/>
      <c r="K4" s="42"/>
      <c r="L4" s="25"/>
      <c r="M4" s="3"/>
      <c r="N4" s="3"/>
      <c r="O4" s="3"/>
    </row>
    <row r="5" spans="1:19" ht="10.199999999999999" x14ac:dyDescent="0.2">
      <c r="A5" s="3"/>
      <c r="B5" s="3"/>
      <c r="C5" s="45"/>
      <c r="D5" s="45"/>
      <c r="E5" s="45"/>
      <c r="F5" s="45"/>
      <c r="G5" s="45"/>
      <c r="H5" s="42"/>
      <c r="I5" s="42"/>
      <c r="J5" s="42"/>
      <c r="K5" s="42"/>
      <c r="L5" s="25"/>
      <c r="M5" s="3"/>
      <c r="N5" s="3"/>
      <c r="O5" s="3"/>
    </row>
    <row r="6" spans="1:19" ht="10.199999999999999" x14ac:dyDescent="0.2">
      <c r="A6" s="3"/>
      <c r="B6" s="3"/>
      <c r="C6" s="42"/>
      <c r="D6" s="42"/>
      <c r="E6" s="42"/>
      <c r="F6" s="42"/>
      <c r="G6" s="42"/>
      <c r="H6" s="42"/>
      <c r="I6" s="42"/>
      <c r="J6" s="42"/>
      <c r="K6" s="42"/>
      <c r="L6" s="25"/>
      <c r="M6" s="3"/>
      <c r="N6" s="3"/>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3"/>
      <c r="N9" s="3"/>
      <c r="O9" s="3"/>
    </row>
    <row r="10" spans="1:19" ht="18.75" customHeight="1" x14ac:dyDescent="0.3">
      <c r="A10" s="3"/>
      <c r="B10" s="3"/>
      <c r="C10" s="133" t="s">
        <v>35</v>
      </c>
      <c r="D10" s="46"/>
      <c r="E10" s="46"/>
      <c r="F10" s="46"/>
      <c r="G10" s="46"/>
      <c r="H10" s="42"/>
      <c r="I10" s="42"/>
      <c r="J10" s="42"/>
      <c r="K10" s="42"/>
      <c r="L10" s="25"/>
      <c r="M10" s="3"/>
      <c r="N10" s="3"/>
      <c r="O10" s="3"/>
    </row>
    <row r="11" spans="1:19" ht="15" customHeight="1" x14ac:dyDescent="0.2">
      <c r="A11" s="3"/>
      <c r="B11" s="3"/>
      <c r="C11" s="267" t="s">
        <v>75</v>
      </c>
      <c r="D11" s="267"/>
      <c r="E11" s="267"/>
      <c r="F11" s="267"/>
      <c r="G11" s="267"/>
      <c r="H11" s="267"/>
      <c r="I11" s="267"/>
      <c r="J11" s="267"/>
      <c r="K11" s="267"/>
      <c r="L11" s="267"/>
      <c r="M11" s="267"/>
      <c r="N11" s="3"/>
      <c r="O11" s="3"/>
    </row>
    <row r="12" spans="1:19" ht="10.5" customHeight="1" x14ac:dyDescent="0.2">
      <c r="A12" s="3"/>
      <c r="B12" s="3"/>
      <c r="C12" s="267"/>
      <c r="D12" s="267"/>
      <c r="E12" s="267"/>
      <c r="F12" s="267"/>
      <c r="G12" s="267"/>
      <c r="H12" s="267"/>
      <c r="I12" s="267"/>
      <c r="J12" s="267"/>
      <c r="K12" s="267"/>
      <c r="L12" s="267"/>
      <c r="M12" s="267"/>
      <c r="N12" s="3"/>
      <c r="O12" s="3"/>
    </row>
    <row r="13" spans="1:19" ht="11.25" customHeight="1" x14ac:dyDescent="0.2">
      <c r="A13" s="3"/>
      <c r="B13" s="3"/>
      <c r="C13" s="267"/>
      <c r="D13" s="267"/>
      <c r="E13" s="267"/>
      <c r="F13" s="267"/>
      <c r="G13" s="267"/>
      <c r="H13" s="267"/>
      <c r="I13" s="267"/>
      <c r="J13" s="267"/>
      <c r="K13" s="267"/>
      <c r="L13" s="267"/>
      <c r="M13" s="267"/>
      <c r="N13" s="3"/>
      <c r="O13" s="3"/>
    </row>
    <row r="14" spans="1:19" ht="11.25" customHeight="1" x14ac:dyDescent="0.2">
      <c r="A14" s="3"/>
      <c r="B14" s="3"/>
      <c r="C14" s="267" t="s">
        <v>76</v>
      </c>
      <c r="D14" s="267"/>
      <c r="E14" s="267"/>
      <c r="F14" s="267"/>
      <c r="G14" s="267"/>
      <c r="H14" s="267"/>
      <c r="I14" s="267"/>
      <c r="J14" s="267"/>
      <c r="K14" s="267"/>
      <c r="L14" s="267"/>
      <c r="M14" s="267"/>
      <c r="N14" s="3"/>
      <c r="O14" s="3"/>
    </row>
    <row r="15" spans="1:19" ht="11.25" customHeight="1" x14ac:dyDescent="0.2">
      <c r="A15" s="3"/>
      <c r="B15" s="3"/>
      <c r="C15" s="267"/>
      <c r="D15" s="267"/>
      <c r="E15" s="267"/>
      <c r="F15" s="267"/>
      <c r="G15" s="267"/>
      <c r="H15" s="267"/>
      <c r="I15" s="267"/>
      <c r="J15" s="267"/>
      <c r="K15" s="267"/>
      <c r="L15" s="267"/>
      <c r="M15" s="267"/>
      <c r="N15" s="3"/>
      <c r="O15" s="3"/>
    </row>
    <row r="16" spans="1:19" ht="11.25" customHeight="1" x14ac:dyDescent="0.2">
      <c r="A16" s="3"/>
      <c r="B16" s="3"/>
      <c r="C16" s="267"/>
      <c r="D16" s="267"/>
      <c r="E16" s="267"/>
      <c r="F16" s="267"/>
      <c r="G16" s="267"/>
      <c r="H16" s="267"/>
      <c r="I16" s="267"/>
      <c r="J16" s="267"/>
      <c r="K16" s="267"/>
      <c r="L16" s="267"/>
      <c r="M16" s="267"/>
      <c r="N16" s="3"/>
      <c r="O16" s="3"/>
    </row>
    <row r="17" spans="1:22" ht="11.4" x14ac:dyDescent="0.2">
      <c r="A17" s="3"/>
      <c r="B17" s="3"/>
      <c r="C17" s="121"/>
      <c r="D17" s="120"/>
      <c r="E17" s="120"/>
      <c r="F17" s="120"/>
      <c r="G17" s="120"/>
      <c r="H17" s="120"/>
      <c r="I17" s="120"/>
      <c r="J17" s="120"/>
      <c r="K17" s="120"/>
      <c r="L17" s="120"/>
      <c r="M17" s="120"/>
      <c r="N17" s="3"/>
      <c r="O17" s="3"/>
    </row>
    <row r="18" spans="1:22" ht="10.199999999999999" x14ac:dyDescent="0.2">
      <c r="A18" s="3"/>
      <c r="B18" s="3"/>
      <c r="C18" s="180" t="s">
        <v>86</v>
      </c>
      <c r="D18" s="180"/>
      <c r="E18" s="180"/>
      <c r="F18" s="180"/>
      <c r="G18" s="42"/>
      <c r="H18" s="42"/>
      <c r="I18" s="42"/>
      <c r="J18" s="178" t="s">
        <v>98</v>
      </c>
      <c r="K18" s="176"/>
      <c r="L18" s="176"/>
      <c r="M18" s="3"/>
      <c r="N18" s="3"/>
      <c r="O18" s="3"/>
      <c r="Q18" s="263" t="s">
        <v>92</v>
      </c>
      <c r="R18" s="263"/>
    </row>
    <row r="19" spans="1:22" s="70" customFormat="1" ht="7.5" customHeight="1" x14ac:dyDescent="0.2">
      <c r="A19" s="13"/>
      <c r="B19" s="13"/>
      <c r="C19" s="47"/>
      <c r="D19" s="47"/>
      <c r="E19" s="47"/>
      <c r="F19" s="47"/>
      <c r="G19" s="47"/>
      <c r="H19" s="48"/>
      <c r="I19" s="48"/>
      <c r="J19" s="48"/>
      <c r="K19" s="48"/>
      <c r="L19" s="48"/>
      <c r="M19" s="14"/>
      <c r="N19" s="14"/>
      <c r="O19" s="13"/>
      <c r="Q19" s="263"/>
      <c r="R19" s="263"/>
    </row>
    <row r="20" spans="1:22" ht="57" customHeight="1" x14ac:dyDescent="0.2">
      <c r="A20" s="113" t="s">
        <v>46</v>
      </c>
      <c r="B20" s="113" t="s">
        <v>47</v>
      </c>
      <c r="C20" s="72" t="s">
        <v>107</v>
      </c>
      <c r="D20" s="72" t="s">
        <v>59</v>
      </c>
      <c r="E20" s="72" t="s">
        <v>60</v>
      </c>
      <c r="F20" s="72" t="s">
        <v>14</v>
      </c>
      <c r="G20" s="72" t="s">
        <v>9</v>
      </c>
      <c r="H20" s="72" t="s">
        <v>8</v>
      </c>
      <c r="I20" s="72" t="s">
        <v>61</v>
      </c>
      <c r="J20" s="72" t="s">
        <v>21</v>
      </c>
      <c r="K20" s="72" t="s">
        <v>62</v>
      </c>
      <c r="L20" s="72" t="s">
        <v>95</v>
      </c>
      <c r="M20" s="72" t="s">
        <v>5</v>
      </c>
      <c r="N20" s="72" t="s">
        <v>96</v>
      </c>
      <c r="O20" s="113" t="s">
        <v>70</v>
      </c>
      <c r="Q20" s="264" t="s">
        <v>93</v>
      </c>
      <c r="R20" s="264"/>
      <c r="S20" s="264"/>
      <c r="T20" s="142"/>
      <c r="U20" s="142"/>
      <c r="V20" s="142"/>
    </row>
    <row r="21" spans="1:22" ht="22.5" customHeight="1" x14ac:dyDescent="0.2">
      <c r="A21" s="110"/>
      <c r="B21" s="110"/>
      <c r="C21" s="199"/>
      <c r="D21" s="213"/>
      <c r="E21" s="222"/>
      <c r="F21" s="218"/>
      <c r="G21" s="199"/>
      <c r="H21" s="218"/>
      <c r="I21" s="103" t="str">
        <f>IFERROR((tblMachinesApparatuur[[#This Row],[Aanschaf-waarde]]-tblMachinesApparatuur[[#This Row],[Restwaarde]])/tblMachinesApparatuur[[#This Row],[Afschrijvingstermijn (jr)]],"")</f>
        <v/>
      </c>
      <c r="J21" s="199"/>
      <c r="K21" s="223"/>
      <c r="L21" s="94" t="str">
        <f>IFERROR((tblMachinesApparatuur[[#This Row],[Afschr. per jaar]]*tblMachinesApparatuur[[#This Row],[Gebruik voor activiteit (mnd)]]*tblMachinesApparatuur[[#This Row],[Gebruik t.o.v. totaal (%)]])/12,"")</f>
        <v/>
      </c>
      <c r="M21" s="73" t="str">
        <f>IFERROR(VLOOKUP(tblMachinesApparatuur[[#This Row],[Activiteit (klik op de cel voor info en vul deze altijd in)]],Activiteiten[[Activiteit Nr.]:[Subsidie %]],3,0),"")</f>
        <v/>
      </c>
      <c r="N21" s="94" t="str">
        <f>IFERROR(((tblMachinesApparatuur[[#This Row],[Kosten totaal]])*tblMachinesApparatuur[[#This Row],[Subsidie %]]), "")</f>
        <v/>
      </c>
      <c r="O21" s="110"/>
      <c r="Q21" s="264"/>
      <c r="R21" s="264"/>
      <c r="S21" s="264"/>
      <c r="T21" s="142"/>
      <c r="U21" s="142"/>
      <c r="V21" s="142"/>
    </row>
    <row r="22" spans="1:22" ht="22.5" customHeight="1" x14ac:dyDescent="0.2">
      <c r="A22" s="110"/>
      <c r="B22" s="110"/>
      <c r="C22" s="199"/>
      <c r="D22" s="213"/>
      <c r="E22" s="222"/>
      <c r="F22" s="218"/>
      <c r="G22" s="199"/>
      <c r="H22" s="218"/>
      <c r="I22" s="103" t="str">
        <f>IFERROR((tblMachinesApparatuur[[#This Row],[Aanschaf-waarde]]-tblMachinesApparatuur[[#This Row],[Restwaarde]])/tblMachinesApparatuur[[#This Row],[Afschrijvingstermijn (jr)]],"")</f>
        <v/>
      </c>
      <c r="J22" s="199"/>
      <c r="K22" s="223"/>
      <c r="L22" s="94" t="str">
        <f>IFERROR((tblMachinesApparatuur[[#This Row],[Afschr. per jaar]]*tblMachinesApparatuur[[#This Row],[Gebruik voor activiteit (mnd)]]*tblMachinesApparatuur[[#This Row],[Gebruik t.o.v. totaal (%)]])/12,"")</f>
        <v/>
      </c>
      <c r="M22" s="73" t="str">
        <f>IFERROR(VLOOKUP(tblMachinesApparatuur[[#This Row],[Activiteit (klik op de cel voor info en vul deze altijd in)]],Activiteiten[[Activiteit Nr.]:[Subsidie %]],3,0),"")</f>
        <v/>
      </c>
      <c r="N22" s="94" t="str">
        <f>IFERROR(((tblMachinesApparatuur[[#This Row],[Kosten totaal]])*tblMachinesApparatuur[[#This Row],[Subsidie %]]), "")</f>
        <v/>
      </c>
      <c r="O22" s="110"/>
      <c r="Q22" s="264"/>
      <c r="R22" s="264"/>
      <c r="S22" s="264"/>
      <c r="T22" s="142"/>
      <c r="U22" s="142"/>
      <c r="V22" s="142"/>
    </row>
    <row r="23" spans="1:22" ht="22.5" customHeight="1" x14ac:dyDescent="0.2">
      <c r="A23" s="110"/>
      <c r="B23" s="110"/>
      <c r="C23" s="199"/>
      <c r="D23" s="213"/>
      <c r="E23" s="222"/>
      <c r="F23" s="218"/>
      <c r="G23" s="199"/>
      <c r="H23" s="218"/>
      <c r="I23" s="103" t="str">
        <f>IFERROR((tblMachinesApparatuur[[#This Row],[Aanschaf-waarde]]-tblMachinesApparatuur[[#This Row],[Restwaarde]])/tblMachinesApparatuur[[#This Row],[Afschrijvingstermijn (jr)]],"")</f>
        <v/>
      </c>
      <c r="J23" s="199"/>
      <c r="K23" s="223"/>
      <c r="L23" s="94" t="str">
        <f>IFERROR((tblMachinesApparatuur[[#This Row],[Afschr. per jaar]]*tblMachinesApparatuur[[#This Row],[Gebruik voor activiteit (mnd)]]*tblMachinesApparatuur[[#This Row],[Gebruik t.o.v. totaal (%)]])/12,"")</f>
        <v/>
      </c>
      <c r="M23" s="73" t="str">
        <f>IFERROR(VLOOKUP(tblMachinesApparatuur[[#This Row],[Activiteit (klik op de cel voor info en vul deze altijd in)]],Activiteiten[[Activiteit Nr.]:[Subsidie %]],3,0),"")</f>
        <v/>
      </c>
      <c r="N23" s="94" t="str">
        <f>IFERROR(((tblMachinesApparatuur[[#This Row],[Kosten totaal]])*tblMachinesApparatuur[[#This Row],[Subsidie %]]), "")</f>
        <v/>
      </c>
      <c r="O23" s="110"/>
      <c r="Q23" s="264"/>
      <c r="R23" s="264"/>
      <c r="S23" s="264"/>
      <c r="T23" s="142"/>
      <c r="U23" s="142"/>
      <c r="V23" s="142"/>
    </row>
    <row r="24" spans="1:22" ht="22.5" customHeight="1" x14ac:dyDescent="0.2">
      <c r="A24" s="110"/>
      <c r="B24" s="110"/>
      <c r="C24" s="199"/>
      <c r="D24" s="213"/>
      <c r="E24" s="222"/>
      <c r="F24" s="218"/>
      <c r="G24" s="199"/>
      <c r="H24" s="218"/>
      <c r="I24" s="103" t="str">
        <f>IFERROR((tblMachinesApparatuur[[#This Row],[Aanschaf-waarde]]-tblMachinesApparatuur[[#This Row],[Restwaarde]])/tblMachinesApparatuur[[#This Row],[Afschrijvingstermijn (jr)]],"")</f>
        <v/>
      </c>
      <c r="J24" s="199"/>
      <c r="K24" s="223"/>
      <c r="L24" s="94" t="str">
        <f>IFERROR((tblMachinesApparatuur[[#This Row],[Afschr. per jaar]]*tblMachinesApparatuur[[#This Row],[Gebruik voor activiteit (mnd)]]*tblMachinesApparatuur[[#This Row],[Gebruik t.o.v. totaal (%)]])/12,"")</f>
        <v/>
      </c>
      <c r="M24" s="78" t="str">
        <f>IFERROR(VLOOKUP(tblMachinesApparatuur[[#This Row],[Activiteit (klik op de cel voor info en vul deze altijd in)]],Activiteiten[[Activiteit Nr.]:[Subsidie %]],3,0),"")</f>
        <v/>
      </c>
      <c r="N24" s="94" t="str">
        <f>IFERROR(((tblMachinesApparatuur[[#This Row],[Kosten totaal]])*tblMachinesApparatuur[[#This Row],[Subsidie %]]), "")</f>
        <v/>
      </c>
      <c r="O24" s="110"/>
      <c r="Q24" s="264"/>
      <c r="R24" s="264"/>
      <c r="S24" s="264"/>
      <c r="T24" s="142"/>
      <c r="U24" s="142"/>
      <c r="V24" s="142"/>
    </row>
    <row r="25" spans="1:22" ht="22.5" customHeight="1" thickBot="1" x14ac:dyDescent="0.25">
      <c r="A25" s="110"/>
      <c r="B25" s="110"/>
      <c r="C25" s="199"/>
      <c r="D25" s="213"/>
      <c r="E25" s="222"/>
      <c r="F25" s="218"/>
      <c r="G25" s="199"/>
      <c r="H25" s="218"/>
      <c r="I25" s="103" t="str">
        <f>IFERROR((tblMachinesApparatuur[[#This Row],[Aanschaf-waarde]]-tblMachinesApparatuur[[#This Row],[Restwaarde]])/tblMachinesApparatuur[[#This Row],[Afschrijvingstermijn (jr)]],"")</f>
        <v/>
      </c>
      <c r="J25" s="199"/>
      <c r="K25" s="223"/>
      <c r="L25" s="94" t="str">
        <f>IFERROR((tblMachinesApparatuur[[#This Row],[Afschr. per jaar]]*tblMachinesApparatuur[[#This Row],[Gebruik voor activiteit (mnd)]]*tblMachinesApparatuur[[#This Row],[Gebruik t.o.v. totaal (%)]])/12,"")</f>
        <v/>
      </c>
      <c r="M25" s="78" t="str">
        <f>IFERROR(VLOOKUP(tblMachinesApparatuur[[#This Row],[Activiteit (klik op de cel voor info en vul deze altijd in)]],Activiteiten[[Activiteit Nr.]:[Subsidie %]],3,0),"")</f>
        <v/>
      </c>
      <c r="N25" s="94" t="str">
        <f>IFERROR(((tblMachinesApparatuur[[#This Row],[Kosten totaal]])*tblMachinesApparatuur[[#This Row],[Subsidie %]]), "")</f>
        <v/>
      </c>
      <c r="O25" s="110"/>
      <c r="Q25" s="142"/>
      <c r="R25" s="142"/>
      <c r="S25" s="142"/>
      <c r="T25" s="142"/>
      <c r="U25" s="142"/>
      <c r="V25" s="142"/>
    </row>
    <row r="26" spans="1:22" ht="26.25" customHeight="1" thickTop="1" x14ac:dyDescent="0.2">
      <c r="A26" s="25"/>
      <c r="B26" s="25"/>
      <c r="C26" s="257" t="s">
        <v>58</v>
      </c>
      <c r="D26" s="257"/>
      <c r="E26" s="257"/>
      <c r="F26" s="257"/>
      <c r="G26" s="257"/>
      <c r="H26" s="172"/>
      <c r="I26" s="172"/>
      <c r="J26" s="196"/>
      <c r="K26" s="188" t="s">
        <v>103</v>
      </c>
      <c r="L26" s="165">
        <f>SUM(tblMachinesApparatuur[Kosten totaal])</f>
        <v>0</v>
      </c>
      <c r="M26" s="52"/>
      <c r="N26" s="165">
        <f>SUM(tblMachinesApparatuur[Subsidie aanvraag])</f>
        <v>0</v>
      </c>
      <c r="O26" s="25"/>
      <c r="Q26" s="142"/>
      <c r="R26" s="142"/>
      <c r="S26" s="142"/>
      <c r="T26" s="142"/>
      <c r="U26" s="142"/>
      <c r="V26" s="142"/>
    </row>
    <row r="27" spans="1:22" ht="30" customHeight="1" x14ac:dyDescent="0.2">
      <c r="A27" s="25"/>
      <c r="B27" s="25"/>
      <c r="C27" s="257"/>
      <c r="D27" s="257"/>
      <c r="E27" s="257"/>
      <c r="F27" s="257"/>
      <c r="G27" s="257"/>
      <c r="H27" s="172"/>
      <c r="I27" s="172"/>
      <c r="J27" s="100"/>
      <c r="K27" s="100"/>
      <c r="L27" s="100"/>
      <c r="M27" s="52"/>
      <c r="N27" s="52"/>
      <c r="O27" s="25"/>
      <c r="Q27" s="142"/>
      <c r="R27" s="142"/>
      <c r="S27" s="142"/>
      <c r="T27" s="142"/>
      <c r="U27" s="142"/>
      <c r="V27" s="142"/>
    </row>
    <row r="28" spans="1:22" ht="12" customHeight="1" x14ac:dyDescent="0.2">
      <c r="A28" s="25"/>
      <c r="B28" s="25"/>
      <c r="C28" s="26" t="s">
        <v>26</v>
      </c>
      <c r="D28" s="100"/>
      <c r="E28" s="100"/>
      <c r="F28" s="100"/>
      <c r="G28" s="100"/>
      <c r="H28" s="100"/>
      <c r="I28" s="100"/>
      <c r="J28" s="100"/>
      <c r="K28" s="100"/>
      <c r="L28" s="100"/>
      <c r="M28" s="52"/>
      <c r="N28" s="52"/>
      <c r="O28" s="25"/>
    </row>
    <row r="29" spans="1:22" ht="25.5" customHeight="1" x14ac:dyDescent="0.2">
      <c r="A29" s="3"/>
      <c r="B29" s="3"/>
      <c r="C29" s="252" t="s">
        <v>91</v>
      </c>
      <c r="D29" s="252"/>
      <c r="E29" s="252"/>
      <c r="F29" s="252"/>
      <c r="G29" s="252"/>
      <c r="H29" s="252"/>
      <c r="I29" s="252"/>
      <c r="J29" s="252"/>
      <c r="K29" s="252"/>
      <c r="L29" s="252"/>
      <c r="M29" s="252"/>
      <c r="N29" s="252"/>
      <c r="O29" s="2"/>
      <c r="P29" s="69"/>
    </row>
    <row r="30" spans="1:22" ht="21" customHeight="1" x14ac:dyDescent="0.2">
      <c r="A30" s="3"/>
      <c r="B30" s="3"/>
      <c r="C30" s="63" t="s">
        <v>37</v>
      </c>
      <c r="D30" s="63" t="s">
        <v>0</v>
      </c>
      <c r="E30" s="63"/>
      <c r="F30" s="63"/>
      <c r="G30" s="63"/>
      <c r="H30" s="63"/>
      <c r="I30" s="63"/>
      <c r="J30" s="250" t="s">
        <v>102</v>
      </c>
      <c r="K30" s="250"/>
      <c r="L30" s="82" t="s">
        <v>48</v>
      </c>
      <c r="M30" s="250" t="s">
        <v>49</v>
      </c>
      <c r="N30" s="250"/>
      <c r="O30" s="25"/>
    </row>
    <row r="31" spans="1:22" ht="18" customHeight="1" x14ac:dyDescent="0.2">
      <c r="A31" s="3"/>
      <c r="B31" s="3"/>
      <c r="C31" s="41">
        <f>IF(Beginpagina!$C$22=0,"",Beginpagina!$C$22)</f>
        <v>1</v>
      </c>
      <c r="D31" s="265" t="str">
        <f>IF(Beginpagina!$D$22=0,"",Beginpagina!$D$22)</f>
        <v xml:space="preserve">Het inrichten en oprichten van een LEI </v>
      </c>
      <c r="E31" s="265"/>
      <c r="F31" s="265"/>
      <c r="G31" s="265"/>
      <c r="H31" s="265"/>
      <c r="I31" s="265"/>
      <c r="J31" s="251">
        <f>SUMIF(tblPersoneelskosten[Activiteit (klik op de cel en vul deze altijd in)],C31,tblPersoneelskosten[Subsidie aanvraag])+SUMIF(tblLoonkostenDerden[Activiteit (klik op de cel voor info en vul deze altijd in)],C31,tblLoonkostenDerden[Subsidie aanvraag])+SUMIF(tblOverigeKostenDerden[Activiteit (klik op de cel voor info en vul deze altijd in)],C31,tblOverigeKostenDerden[Subsidie aanvraag])+SUMIF(tblVrijwilligersvergoeding[Activiteit (klik op de cel voor info en vul deze altijd in)],C31,tblVrijwilligersvergoeding[Subsidie aanvraag])+SUMIF(tblOverigeKostenVrijwilligers[Activiteit (klik op de cel voor info en vul deze altijd in)],C31,tblOverigeKostenVrijwilligers[Subsidie aanvraag])+SUMIF(tblMachinesApparatuur[Activiteit (klik op de cel voor info en vul deze altijd in)],C31,tblMachinesApparatuur[Subsidie aanvraag])</f>
        <v>0</v>
      </c>
      <c r="K31" s="251"/>
      <c r="L31" s="139">
        <f>_xlfn.IFNA(VLOOKUP(C31,Beginpagina!$C$21:$G$26,5,0),"")</f>
        <v>2500</v>
      </c>
      <c r="M31" s="266">
        <f>IFERROR((IF(L31&gt;J31,L31-J31,0)),"")</f>
        <v>2500</v>
      </c>
      <c r="N31" s="266"/>
      <c r="O31" s="25"/>
    </row>
    <row r="32" spans="1:22" ht="18" customHeight="1" x14ac:dyDescent="0.2">
      <c r="A32" s="3"/>
      <c r="B32" s="3"/>
      <c r="C32" s="41">
        <f>IF(Beginpagina!$C$23=0,"",Beginpagina!$C$23)</f>
        <v>2</v>
      </c>
      <c r="D32" s="265" t="str">
        <f>IF(Beginpagina!$D$23=0,"",Beginpagina!$D$23)</f>
        <v xml:space="preserve">Uitvoeren van een energiebesparingsproject/eenvoudige energiebesparingsmaatregelen </v>
      </c>
      <c r="E32" s="265"/>
      <c r="F32" s="265"/>
      <c r="G32" s="265"/>
      <c r="H32" s="265"/>
      <c r="I32" s="265"/>
      <c r="J32" s="251">
        <f>SUMIF(tblPersoneelskosten[Activiteit (klik op de cel en vul deze altijd in)],C32,tblPersoneelskosten[Subsidie aanvraag])+SUMIF(tblLoonkostenDerden[Activiteit (klik op de cel voor info en vul deze altijd in)],C32,tblLoonkostenDerden[Subsidie aanvraag])+SUMIF(tblOverigeKostenDerden[Activiteit (klik op de cel voor info en vul deze altijd in)],C32,tblOverigeKostenDerden[Subsidie aanvraag])+SUMIF(tblVrijwilligersvergoeding[Activiteit (klik op de cel voor info en vul deze altijd in)],C32,tblVrijwilligersvergoeding[Subsidie aanvraag])+SUMIF(tblOverigeKostenVrijwilligers[Activiteit (klik op de cel voor info en vul deze altijd in)],C32,tblOverigeKostenVrijwilligers[Subsidie aanvraag])+SUMIF(tblMachinesApparatuur[Activiteit (klik op de cel voor info en vul deze altijd in)],C32,tblMachinesApparatuur[Subsidie aanvraag])</f>
        <v>0</v>
      </c>
      <c r="K32" s="251"/>
      <c r="L32" s="139">
        <f>_xlfn.IFNA(VLOOKUP(C32,Beginpagina!$C$21:$G$26,5,0),"")</f>
        <v>10000</v>
      </c>
      <c r="M32" s="266">
        <f>IFERROR((IF(L32&gt;J32,L32-J32,0)),"")</f>
        <v>10000</v>
      </c>
      <c r="N32" s="266"/>
      <c r="O32" s="25"/>
    </row>
    <row r="33" spans="1:19" ht="18" customHeight="1" x14ac:dyDescent="0.2">
      <c r="A33" s="3"/>
      <c r="B33" s="3"/>
      <c r="C33" s="41">
        <f>IF(Beginpagina!$C$24=0,"",Beginpagina!$C$24)</f>
        <v>3</v>
      </c>
      <c r="D33" s="265" t="str">
        <f>IF(Beginpagina!$D$24=0,"",Beginpagina!$D$24)</f>
        <v xml:space="preserve">Opleiden van vrijwilligers tot energiefixer of energiebesparingscoach </v>
      </c>
      <c r="E33" s="265"/>
      <c r="F33" s="265"/>
      <c r="G33" s="265"/>
      <c r="H33" s="265"/>
      <c r="I33" s="265"/>
      <c r="J33" s="251">
        <f>SUMIF(tblPersoneelskosten[Activiteit (klik op de cel en vul deze altijd in)],C33,tblPersoneelskosten[Subsidie aanvraag])+SUMIF(tblLoonkostenDerden[Activiteit (klik op de cel voor info en vul deze altijd in)],C33,tblLoonkostenDerden[Subsidie aanvraag])+SUMIF(tblOverigeKostenDerden[Activiteit (klik op de cel voor info en vul deze altijd in)],C33,tblOverigeKostenDerden[Subsidie aanvraag])+SUMIF(tblVrijwilligersvergoeding[Activiteit (klik op de cel voor info en vul deze altijd in)],C33,tblVrijwilligersvergoeding[Subsidie aanvraag])+SUMIF(tblOverigeKostenVrijwilligers[Activiteit (klik op de cel voor info en vul deze altijd in)],C33,tblOverigeKostenVrijwilligers[Subsidie aanvraag])+SUMIF(tblMachinesApparatuur[Activiteit (klik op de cel voor info en vul deze altijd in)],C33,tblMachinesApparatuur[Subsidie aanvraag])</f>
        <v>0</v>
      </c>
      <c r="K33" s="251"/>
      <c r="L33" s="139">
        <f>_xlfn.IFNA(VLOOKUP(C33,Beginpagina!$C$21:$G$26,5,0),"")</f>
        <v>2500</v>
      </c>
      <c r="M33" s="266">
        <f>IFERROR((IF(L33&gt;J33,L33-J33,0)),"")</f>
        <v>2500</v>
      </c>
      <c r="N33" s="266"/>
      <c r="O33" s="25"/>
    </row>
    <row r="34" spans="1:19" ht="18" customHeight="1" x14ac:dyDescent="0.2">
      <c r="A34" s="3"/>
      <c r="B34" s="3"/>
      <c r="C34" s="49">
        <f>IF(Beginpagina!$C$26=0,"",Beginpagina!$C$26)</f>
        <v>5</v>
      </c>
      <c r="D34" s="262" t="str">
        <f>IF(Beginpagina!$D$27=0,"",Beginpagina!$D$27)</f>
        <v/>
      </c>
      <c r="E34" s="262"/>
      <c r="F34" s="262"/>
      <c r="G34" s="262"/>
      <c r="H34" s="262"/>
      <c r="I34" s="262"/>
      <c r="J34" s="251">
        <f>SUMIF(tblPersoneelskosten[Activiteit (klik op de cel en vul deze altijd in)],C34,tblPersoneelskosten[Subsidie aanvraag])+SUMIF(tblLoonkostenDerden[Activiteit (klik op de cel voor info en vul deze altijd in)],C34,tblLoonkostenDerden[Subsidie aanvraag])+SUMIF(tblOverigeKostenDerden[Activiteit (klik op de cel voor info en vul deze altijd in)],C34,tblOverigeKostenDerden[Subsidie aanvraag])+SUMIF(tblVrijwilligersvergoeding[Activiteit (klik op de cel voor info en vul deze altijd in)],C34,tblVrijwilligersvergoeding[Subsidie aanvraag])+SUMIF(tblOverigeKostenVrijwilligers[Activiteit (klik op de cel voor info en vul deze altijd in)],C34,tblOverigeKostenVrijwilligers[Subsidie aanvraag])+SUMIF(tblMachinesApparatuur[Activiteit (klik op de cel voor info en vul deze altijd in)],C34,tblMachinesApparatuur[Subsidie aanvraag])</f>
        <v>0</v>
      </c>
      <c r="K34" s="251"/>
      <c r="L34" s="91">
        <f>_xlfn.IFNA(VLOOKUP(C34,Beginpagina!$C$21:$G$26,5,0),"")</f>
        <v>10000</v>
      </c>
      <c r="M34" s="251">
        <f>IFERROR((IF(L34&gt;J34,L34-J34,0)),"")</f>
        <v>10000</v>
      </c>
      <c r="N34" s="251"/>
      <c r="O34" s="25"/>
    </row>
    <row r="35" spans="1:19" ht="18" customHeight="1" x14ac:dyDescent="0.2">
      <c r="A35" s="3"/>
      <c r="B35" s="3"/>
      <c r="C35" s="49">
        <f>IF(Beginpagina!$C$26=0,"",Beginpagina!$C$26)</f>
        <v>5</v>
      </c>
      <c r="D35" s="262" t="str">
        <f>IF(Beginpagina!$D$27=0,"",Beginpagina!$D$27)</f>
        <v/>
      </c>
      <c r="E35" s="262"/>
      <c r="F35" s="262"/>
      <c r="G35" s="262"/>
      <c r="H35" s="262"/>
      <c r="I35" s="262"/>
      <c r="J35" s="251">
        <f>SUMIF(tblPersoneelskosten[Activiteit (klik op de cel en vul deze altijd in)],C35,tblPersoneelskosten[Subsidie aanvraag])+SUMIF(tblLoonkostenDerden[Activiteit (klik op de cel voor info en vul deze altijd in)],C35,tblLoonkostenDerden[Subsidie aanvraag])+SUMIF(tblOverigeKostenDerden[Activiteit (klik op de cel voor info en vul deze altijd in)],C35,tblOverigeKostenDerden[Subsidie aanvraag])+SUMIF(tblVrijwilligersvergoeding[Activiteit (klik op de cel voor info en vul deze altijd in)],C35,tblVrijwilligersvergoeding[Subsidie aanvraag])+SUMIF(tblOverigeKostenVrijwilligers[Activiteit (klik op de cel voor info en vul deze altijd in)],C35,tblOverigeKostenVrijwilligers[Subsidie aanvraag])+SUMIF(tblMachinesApparatuur[Activiteit (klik op de cel voor info en vul deze altijd in)],C35,tblMachinesApparatuur[Subsidie aanvraag])</f>
        <v>0</v>
      </c>
      <c r="K35" s="251"/>
      <c r="L35" s="91">
        <f>_xlfn.IFNA(VLOOKUP(C35,Beginpagina!$C$21:$G$26,5,0),"")</f>
        <v>10000</v>
      </c>
      <c r="M35" s="251">
        <f>IFERROR((IF(L35&gt;J35,L35-J35,0)),"")</f>
        <v>10000</v>
      </c>
      <c r="N35" s="251"/>
      <c r="O35" s="25"/>
    </row>
    <row r="36" spans="1:19" ht="7.5" customHeight="1" x14ac:dyDescent="0.2">
      <c r="A36" s="3"/>
      <c r="B36" s="3"/>
      <c r="C36" s="81">
        <f>(MAX(Activiteiten[[#All],[Activiteit Nr.]])+1)</f>
        <v>6</v>
      </c>
      <c r="D36" s="42"/>
      <c r="E36" s="42"/>
      <c r="F36" s="42"/>
      <c r="G36" s="42"/>
      <c r="H36" s="42"/>
      <c r="I36" s="42"/>
      <c r="J36" s="42"/>
      <c r="K36" s="25"/>
      <c r="L36" s="25"/>
      <c r="M36" s="21"/>
      <c r="N36" s="3"/>
      <c r="O36" s="3"/>
    </row>
    <row r="37" spans="1:19" ht="16.2" x14ac:dyDescent="0.3">
      <c r="A37" s="3"/>
      <c r="B37" s="3"/>
      <c r="C37" s="53" t="s">
        <v>31</v>
      </c>
      <c r="D37" s="53"/>
      <c r="E37" s="53"/>
      <c r="F37" s="53"/>
      <c r="G37" s="53"/>
      <c r="H37" s="54"/>
      <c r="I37" s="54"/>
      <c r="J37" s="54"/>
      <c r="K37" s="54"/>
      <c r="L37" s="42"/>
      <c r="M37" s="2"/>
      <c r="N37" s="2"/>
      <c r="O37" s="2"/>
      <c r="P37" s="69"/>
      <c r="Q37" s="69"/>
      <c r="R37" s="69"/>
      <c r="S37" s="69"/>
    </row>
    <row r="38" spans="1:19" ht="10.199999999999999" x14ac:dyDescent="0.2">
      <c r="A38" s="3"/>
      <c r="B38" s="3"/>
      <c r="C38" s="54"/>
      <c r="D38" s="54"/>
      <c r="E38" s="54"/>
      <c r="F38" s="54"/>
      <c r="G38" s="54"/>
      <c r="H38" s="54"/>
      <c r="I38" s="54"/>
      <c r="J38" s="54"/>
      <c r="K38" s="54"/>
      <c r="L38" s="42"/>
      <c r="M38" s="2"/>
      <c r="N38" s="2"/>
      <c r="O38" s="2"/>
      <c r="P38" s="69"/>
      <c r="Q38" s="69"/>
      <c r="R38" s="69"/>
      <c r="S38" s="69"/>
    </row>
    <row r="39" spans="1:19" ht="10.5" customHeight="1" x14ac:dyDescent="0.2">
      <c r="A39" s="3"/>
      <c r="B39" s="3"/>
      <c r="C39" s="256" t="s">
        <v>84</v>
      </c>
      <c r="D39" s="256"/>
      <c r="E39" s="256"/>
      <c r="F39" s="256"/>
      <c r="G39" s="256"/>
      <c r="H39" s="256"/>
      <c r="I39" s="256"/>
      <c r="J39" s="256"/>
      <c r="K39" s="55"/>
      <c r="L39" s="55"/>
      <c r="M39" s="33"/>
      <c r="N39" s="33"/>
      <c r="O39"/>
      <c r="P39" s="71"/>
      <c r="Q39" s="71"/>
      <c r="R39" s="71"/>
      <c r="S39" s="71"/>
    </row>
    <row r="40" spans="1:19" ht="10.5" customHeight="1" x14ac:dyDescent="0.2">
      <c r="A40" s="3"/>
      <c r="B40" s="3"/>
      <c r="C40" s="256"/>
      <c r="D40" s="256"/>
      <c r="E40" s="256"/>
      <c r="F40" s="256"/>
      <c r="G40" s="256"/>
      <c r="H40" s="256"/>
      <c r="I40" s="256"/>
      <c r="J40" s="256"/>
      <c r="K40" s="55"/>
      <c r="L40" s="55"/>
      <c r="M40" s="33"/>
      <c r="N40" s="33"/>
      <c r="O40" s="3"/>
    </row>
    <row r="41" spans="1:19" ht="10.5" customHeight="1" x14ac:dyDescent="0.2">
      <c r="A41" s="3"/>
      <c r="B41" s="3"/>
      <c r="C41" s="256"/>
      <c r="D41" s="256"/>
      <c r="E41" s="256"/>
      <c r="F41" s="256"/>
      <c r="G41" s="256"/>
      <c r="H41" s="256"/>
      <c r="I41" s="256"/>
      <c r="J41" s="256"/>
      <c r="K41" s="25"/>
      <c r="L41" s="25"/>
      <c r="M41" s="3"/>
      <c r="N41" s="3"/>
      <c r="O41" s="3"/>
    </row>
    <row r="42" spans="1:19" ht="10.5" customHeight="1" x14ac:dyDescent="0.2">
      <c r="A42" s="3"/>
      <c r="B42" s="3"/>
      <c r="C42" s="256"/>
      <c r="D42" s="256"/>
      <c r="E42" s="256"/>
      <c r="F42" s="256"/>
      <c r="G42" s="256"/>
      <c r="H42" s="256"/>
      <c r="I42" s="256"/>
      <c r="J42" s="256"/>
      <c r="K42" s="25"/>
      <c r="L42" s="25"/>
      <c r="M42" s="3"/>
      <c r="N42" s="3"/>
      <c r="O42" s="3"/>
    </row>
    <row r="43" spans="1:19" ht="10.199999999999999" x14ac:dyDescent="0.2">
      <c r="A43" s="3"/>
      <c r="B43" s="3"/>
      <c r="C43" s="256"/>
      <c r="D43" s="256"/>
      <c r="E43" s="256"/>
      <c r="F43" s="256"/>
      <c r="G43" s="256"/>
      <c r="H43" s="256"/>
      <c r="I43" s="256"/>
      <c r="J43" s="256"/>
      <c r="K43" s="25"/>
      <c r="L43" s="25"/>
      <c r="M43" s="3"/>
      <c r="N43" s="3"/>
      <c r="O43" s="3"/>
    </row>
    <row r="44" spans="1:19" ht="10.199999999999999" x14ac:dyDescent="0.2">
      <c r="A44" s="3"/>
      <c r="B44" s="3"/>
      <c r="C44" s="25"/>
      <c r="D44" s="25"/>
      <c r="E44" s="25"/>
      <c r="F44" s="25"/>
      <c r="G44" s="25"/>
      <c r="H44" s="25"/>
      <c r="I44" s="25"/>
      <c r="J44" s="25"/>
      <c r="K44" s="25"/>
      <c r="L44" s="25"/>
      <c r="M44" s="3"/>
      <c r="N44" s="3"/>
      <c r="O44" s="3"/>
    </row>
    <row r="45" spans="1:19" ht="10.199999999999999" x14ac:dyDescent="0.2">
      <c r="A45" s="3"/>
      <c r="B45" s="3"/>
      <c r="C45" s="25"/>
      <c r="D45" s="25"/>
      <c r="E45" s="25"/>
      <c r="F45" s="25"/>
      <c r="G45" s="25"/>
      <c r="H45" s="25"/>
      <c r="I45" s="25"/>
      <c r="J45" s="25"/>
      <c r="K45" s="25"/>
      <c r="L45" s="25"/>
      <c r="M45" s="3"/>
      <c r="N45" s="3"/>
      <c r="O45" s="3"/>
    </row>
    <row r="46" spans="1:19" ht="10.199999999999999" x14ac:dyDescent="0.2">
      <c r="A46" s="3"/>
      <c r="B46" s="3"/>
      <c r="C46" s="25"/>
      <c r="D46" s="25"/>
      <c r="E46" s="25"/>
      <c r="F46" s="25"/>
      <c r="G46" s="25"/>
      <c r="H46" s="25"/>
      <c r="I46" s="25"/>
      <c r="J46" s="25"/>
      <c r="K46" s="25"/>
      <c r="L46" s="25"/>
      <c r="M46" s="3"/>
      <c r="N46" s="3"/>
      <c r="O46" s="3"/>
    </row>
    <row r="47" spans="1:19" ht="10.199999999999999" x14ac:dyDescent="0.2">
      <c r="A47" s="3"/>
      <c r="B47" s="3"/>
      <c r="C47" s="25"/>
      <c r="D47" s="25"/>
      <c r="E47" s="25"/>
      <c r="F47" s="25"/>
      <c r="G47" s="25"/>
      <c r="H47" s="25"/>
      <c r="I47" s="25"/>
      <c r="J47" s="25"/>
      <c r="K47" s="25"/>
      <c r="L47" s="25"/>
      <c r="M47" s="3"/>
      <c r="N47" s="3"/>
      <c r="O47" s="3"/>
    </row>
    <row r="48" spans="1:19" ht="10.199999999999999" x14ac:dyDescent="0.2">
      <c r="A48" s="3"/>
      <c r="B48" s="3"/>
      <c r="C48" s="25"/>
      <c r="D48" s="25"/>
      <c r="E48" s="25"/>
      <c r="F48" s="25"/>
      <c r="G48" s="25"/>
      <c r="H48" s="25"/>
      <c r="I48" s="25"/>
      <c r="J48" s="25"/>
      <c r="K48" s="25"/>
      <c r="L48" s="25"/>
      <c r="M48" s="3"/>
      <c r="N48" s="3"/>
      <c r="O48" s="3"/>
    </row>
    <row r="49" spans="1:15" ht="10.199999999999999" x14ac:dyDescent="0.2">
      <c r="A49" s="3"/>
      <c r="B49" s="3"/>
      <c r="C49" s="25"/>
      <c r="D49" s="25"/>
      <c r="E49" s="25"/>
      <c r="F49" s="25"/>
      <c r="G49" s="25"/>
      <c r="H49" s="25"/>
      <c r="I49" s="25"/>
      <c r="J49" s="25"/>
      <c r="K49" s="25"/>
      <c r="L49" s="25"/>
      <c r="M49" s="3"/>
      <c r="N49" s="3"/>
      <c r="O49" s="3"/>
    </row>
    <row r="50" spans="1:15" ht="10.199999999999999" x14ac:dyDescent="0.2">
      <c r="A50" s="3"/>
      <c r="B50" s="3"/>
      <c r="C50" s="25"/>
      <c r="D50" s="25"/>
      <c r="E50" s="25"/>
      <c r="F50" s="25"/>
      <c r="G50" s="25"/>
      <c r="H50" s="25"/>
      <c r="I50" s="25"/>
      <c r="J50" s="25"/>
      <c r="K50" s="25"/>
      <c r="L50" s="25"/>
      <c r="M50" s="3"/>
      <c r="N50" s="3"/>
      <c r="O50" s="3"/>
    </row>
    <row r="51" spans="1:15" ht="10.199999999999999" x14ac:dyDescent="0.2">
      <c r="A51" s="3"/>
      <c r="B51" s="3"/>
      <c r="C51" s="25"/>
      <c r="D51" s="25"/>
      <c r="E51" s="25"/>
      <c r="F51" s="25"/>
      <c r="G51" s="25"/>
      <c r="H51" s="25"/>
      <c r="I51" s="25"/>
      <c r="J51" s="25"/>
      <c r="K51" s="25"/>
      <c r="L51" s="25"/>
      <c r="M51" s="3"/>
      <c r="N51" s="3"/>
      <c r="O51" s="3"/>
    </row>
    <row r="52" spans="1:15" ht="10.199999999999999" x14ac:dyDescent="0.2">
      <c r="A52" s="3"/>
      <c r="B52" s="3"/>
      <c r="C52" s="25"/>
      <c r="D52" s="25"/>
      <c r="E52" s="25"/>
      <c r="F52" s="25"/>
      <c r="G52" s="25"/>
      <c r="H52" s="25"/>
      <c r="I52" s="25"/>
      <c r="J52" s="25"/>
      <c r="K52" s="25"/>
      <c r="L52" s="25"/>
      <c r="M52" s="3"/>
      <c r="N52" s="3"/>
      <c r="O52" s="3"/>
    </row>
    <row r="53" spans="1:15" ht="10.199999999999999" x14ac:dyDescent="0.2">
      <c r="A53" s="3"/>
      <c r="B53" s="3"/>
      <c r="C53" s="25"/>
      <c r="D53" s="25"/>
      <c r="E53" s="25"/>
      <c r="F53" s="25"/>
      <c r="G53" s="25"/>
      <c r="H53" s="25"/>
      <c r="I53" s="25"/>
      <c r="J53" s="25"/>
      <c r="K53" s="25"/>
      <c r="L53" s="25"/>
      <c r="M53" s="3"/>
      <c r="N53" s="3"/>
      <c r="O53" s="3"/>
    </row>
    <row r="54" spans="1:15" ht="10.199999999999999" x14ac:dyDescent="0.2">
      <c r="A54" s="3"/>
      <c r="B54" s="3"/>
      <c r="C54" s="25"/>
      <c r="D54" s="25"/>
      <c r="E54" s="25"/>
      <c r="F54" s="25"/>
      <c r="G54" s="25"/>
      <c r="H54" s="25"/>
      <c r="I54" s="25"/>
      <c r="J54" s="25"/>
      <c r="K54" s="25"/>
      <c r="L54" s="25"/>
      <c r="M54" s="3"/>
      <c r="N54" s="3"/>
      <c r="O54" s="3"/>
    </row>
    <row r="55" spans="1:15" ht="10.199999999999999" x14ac:dyDescent="0.2">
      <c r="A55" s="3"/>
      <c r="B55" s="3"/>
      <c r="C55" s="25"/>
      <c r="D55" s="25"/>
      <c r="E55" s="25"/>
      <c r="F55" s="25"/>
      <c r="G55" s="25"/>
      <c r="H55" s="25"/>
      <c r="I55" s="25"/>
      <c r="J55" s="25"/>
      <c r="K55" s="25"/>
      <c r="L55" s="25"/>
      <c r="M55" s="3"/>
      <c r="N55" s="3"/>
      <c r="O55" s="3"/>
    </row>
    <row r="56" spans="1:15" ht="10.199999999999999" x14ac:dyDescent="0.2">
      <c r="A56" s="3"/>
      <c r="B56" s="3"/>
      <c r="C56" s="25"/>
      <c r="D56" s="25"/>
      <c r="E56" s="25"/>
      <c r="F56" s="25"/>
      <c r="G56" s="25"/>
      <c r="H56" s="25"/>
      <c r="I56" s="25"/>
      <c r="J56" s="25"/>
      <c r="K56" s="25"/>
      <c r="L56" s="25"/>
      <c r="M56" s="3"/>
      <c r="N56" s="3"/>
      <c r="O56" s="3"/>
    </row>
    <row r="57" spans="1:15" ht="10.199999999999999" x14ac:dyDescent="0.2">
      <c r="A57" s="3"/>
      <c r="B57" s="3"/>
      <c r="C57" s="25"/>
      <c r="D57" s="25"/>
      <c r="E57" s="25"/>
      <c r="F57" s="25"/>
      <c r="G57" s="25"/>
      <c r="H57" s="25"/>
      <c r="I57" s="25"/>
      <c r="J57" s="25"/>
      <c r="K57" s="25"/>
      <c r="L57" s="25"/>
      <c r="M57" s="3"/>
      <c r="N57" s="3"/>
      <c r="O57" s="3"/>
    </row>
    <row r="58" spans="1:15" ht="10.199999999999999" x14ac:dyDescent="0.2">
      <c r="A58" s="3"/>
      <c r="B58" s="3"/>
      <c r="C58" s="25"/>
      <c r="D58" s="25"/>
      <c r="E58" s="25"/>
      <c r="F58" s="25"/>
      <c r="G58" s="25"/>
      <c r="H58" s="25"/>
      <c r="I58" s="25"/>
      <c r="J58" s="25"/>
      <c r="K58" s="25"/>
      <c r="L58" s="25"/>
      <c r="M58" s="3"/>
      <c r="N58" s="3"/>
      <c r="O58" s="3"/>
    </row>
    <row r="59" spans="1:15" ht="10.199999999999999" x14ac:dyDescent="0.2">
      <c r="A59" s="3"/>
      <c r="B59" s="3"/>
      <c r="C59" s="25"/>
      <c r="D59" s="25"/>
      <c r="E59" s="25"/>
      <c r="F59" s="25"/>
      <c r="G59" s="25"/>
      <c r="H59" s="25"/>
      <c r="I59" s="25"/>
      <c r="J59" s="25"/>
      <c r="K59" s="25"/>
      <c r="L59" s="25"/>
      <c r="M59" s="3"/>
      <c r="N59" s="3"/>
      <c r="O59" s="3"/>
    </row>
    <row r="60" spans="1:15" ht="10.199999999999999" x14ac:dyDescent="0.2">
      <c r="A60" s="3"/>
      <c r="B60" s="3"/>
      <c r="C60" s="25"/>
      <c r="D60" s="25"/>
      <c r="E60" s="25"/>
      <c r="F60" s="25"/>
      <c r="G60" s="25"/>
      <c r="H60" s="25"/>
      <c r="I60" s="25"/>
      <c r="J60" s="25"/>
      <c r="K60" s="25"/>
      <c r="L60" s="25"/>
      <c r="M60" s="3"/>
      <c r="N60" s="3"/>
      <c r="O60" s="3"/>
    </row>
    <row r="61" spans="1:15" ht="10.199999999999999" x14ac:dyDescent="0.2">
      <c r="A61" s="3"/>
      <c r="B61" s="3"/>
      <c r="C61" s="25"/>
      <c r="D61" s="25"/>
      <c r="E61" s="25"/>
      <c r="F61" s="25"/>
      <c r="G61" s="25"/>
      <c r="H61" s="25"/>
      <c r="I61" s="25"/>
      <c r="J61" s="25"/>
      <c r="K61" s="25"/>
      <c r="L61" s="25"/>
      <c r="M61" s="3"/>
      <c r="N61" s="3"/>
      <c r="O61" s="3"/>
    </row>
    <row r="62" spans="1:15" ht="10.199999999999999" x14ac:dyDescent="0.2">
      <c r="A62" s="3"/>
      <c r="B62" s="3"/>
      <c r="C62" s="25"/>
      <c r="D62" s="25"/>
      <c r="E62" s="25"/>
      <c r="F62" s="25"/>
      <c r="G62" s="25"/>
      <c r="H62" s="25"/>
      <c r="I62" s="25"/>
      <c r="J62" s="25"/>
      <c r="K62" s="25"/>
      <c r="L62" s="25"/>
      <c r="M62" s="3"/>
      <c r="N62" s="3"/>
      <c r="O62" s="3"/>
    </row>
    <row r="63" spans="1:15" ht="10.199999999999999" x14ac:dyDescent="0.2">
      <c r="A63" s="3"/>
      <c r="B63" s="3"/>
      <c r="C63" s="25"/>
      <c r="D63" s="25"/>
      <c r="E63" s="25"/>
      <c r="F63" s="25"/>
      <c r="G63" s="25"/>
      <c r="H63" s="25"/>
      <c r="I63" s="25"/>
      <c r="J63" s="25"/>
      <c r="K63" s="25"/>
      <c r="L63" s="25"/>
      <c r="M63" s="3"/>
      <c r="N63" s="3"/>
      <c r="O63" s="3"/>
    </row>
    <row r="64" spans="1:15" ht="10.199999999999999" x14ac:dyDescent="0.2">
      <c r="A64" s="3"/>
      <c r="B64" s="3"/>
      <c r="C64" s="25"/>
      <c r="D64" s="25"/>
      <c r="E64" s="25"/>
      <c r="F64" s="25"/>
      <c r="G64" s="25"/>
      <c r="H64" s="25"/>
      <c r="I64" s="25"/>
      <c r="J64" s="25"/>
      <c r="K64" s="25"/>
      <c r="L64" s="25"/>
      <c r="M64" s="3"/>
      <c r="N64" s="3"/>
      <c r="O64" s="3"/>
    </row>
    <row r="65" spans="1:15" ht="10.8" thickBot="1" x14ac:dyDescent="0.25">
      <c r="A65" s="3"/>
      <c r="B65" s="3"/>
      <c r="C65" s="25"/>
      <c r="D65" s="25"/>
      <c r="E65" s="25"/>
      <c r="F65" s="25"/>
      <c r="G65" s="25"/>
      <c r="H65" s="25"/>
      <c r="I65" s="25"/>
      <c r="J65" s="25"/>
      <c r="K65" s="25"/>
      <c r="L65" s="25"/>
      <c r="M65" s="3"/>
      <c r="N65" s="3"/>
      <c r="O65" s="3"/>
    </row>
    <row r="66" spans="1:15" s="70" customFormat="1" ht="18" customHeight="1" x14ac:dyDescent="0.2">
      <c r="A66" s="13"/>
      <c r="B66" s="13"/>
      <c r="C66" s="56" t="str">
        <f>CONCATENATE("Subsidieaanvraag voor ",Beginpagina!$D$7)</f>
        <v>Subsidieaanvraag voor Paragraaf 3.6 Lokale energie-initiatieven 4.0</v>
      </c>
      <c r="D66" s="56"/>
      <c r="E66" s="56"/>
      <c r="F66" s="56"/>
      <c r="G66" s="56"/>
      <c r="H66" s="57"/>
      <c r="I66" s="57"/>
      <c r="J66" s="229" t="s">
        <v>25</v>
      </c>
      <c r="K66" s="229"/>
      <c r="L66" s="229"/>
      <c r="M66" s="229"/>
      <c r="N66" s="37"/>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dataConsolidate/>
  <mergeCells count="25">
    <mergeCell ref="C11:M13"/>
    <mergeCell ref="C14:M16"/>
    <mergeCell ref="J30:K30"/>
    <mergeCell ref="M30:N30"/>
    <mergeCell ref="C29:N29"/>
    <mergeCell ref="J66:M66"/>
    <mergeCell ref="D32:I32"/>
    <mergeCell ref="J32:K32"/>
    <mergeCell ref="M32:N32"/>
    <mergeCell ref="D33:I33"/>
    <mergeCell ref="J33:K33"/>
    <mergeCell ref="M33:N33"/>
    <mergeCell ref="D34:I34"/>
    <mergeCell ref="J34:K34"/>
    <mergeCell ref="M34:N34"/>
    <mergeCell ref="D35:I35"/>
    <mergeCell ref="J35:K35"/>
    <mergeCell ref="M35:N35"/>
    <mergeCell ref="Q18:R19"/>
    <mergeCell ref="Q20:S24"/>
    <mergeCell ref="C39:J43"/>
    <mergeCell ref="D31:I31"/>
    <mergeCell ref="J31:K31"/>
    <mergeCell ref="M31:N31"/>
    <mergeCell ref="C26:G27"/>
  </mergeCells>
  <conditionalFormatting sqref="C31:I35 L31:N35">
    <cfRule type="expression" dxfId="39" priority="13">
      <formula>$C31&lt;&gt;""</formula>
    </cfRule>
  </conditionalFormatting>
  <conditionalFormatting sqref="M35:N35">
    <cfRule type="expression" dxfId="38" priority="7">
      <formula>$N35&lt;0</formula>
    </cfRule>
  </conditionalFormatting>
  <conditionalFormatting sqref="M31:N34">
    <cfRule type="expression" dxfId="37" priority="5">
      <formula>$N31&lt;0</formula>
    </cfRule>
  </conditionalFormatting>
  <conditionalFormatting sqref="M34:N34">
    <cfRule type="expression" dxfId="36" priority="3">
      <formula>$N34&lt;0</formula>
    </cfRule>
  </conditionalFormatting>
  <conditionalFormatting sqref="J31:K35">
    <cfRule type="expression" dxfId="35" priority="1">
      <formula>$C31&lt;&gt;""</formula>
    </cfRule>
  </conditionalFormatting>
  <conditionalFormatting sqref="J31:K35">
    <cfRule type="expression" dxfId="34" priority="2">
      <formula>$I31&gt;$L31</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600-000000000000}"/>
    <dataValidation type="decimal" allowBlank="1" showInputMessage="1" showErrorMessage="1" sqref="K21:K25" xr:uid="{00000000-0002-0000-06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600-000002000000}">
      <formula1>C36</formula1>
    </dataValidation>
    <dataValidation type="custom" allowBlank="1" showInputMessage="1" showErrorMessage="1" error="A.u.b. niets wijzigen in de grijze cellen." sqref="I21:I25 L31:N33 C31:I33" xr:uid="{00000000-0002-0000-0600-000003000000}">
      <formula1>FALSE</formula1>
    </dataValidation>
    <dataValidation type="custom" allowBlank="1" showInputMessage="1" showErrorMessage="1" error="Hier a.u.b. geen wijzigingen" sqref="M10 B59 L14 J27 M12 C15 C13 G10 C11 C10 O12 H13 H12 A59 O59 O58 O61 O62 O63 J28 O65 A1 A2 A3 A4 A5 A6 A7 A8 A9 A10 A11 A12 A13 A14 A15 A16 A17 A18 A19 A20 A21 A22 A23 A24 A25 A26 A27 A28 A29 A30 A31 A32 A33 A34 A35 A36 A37 A38 A39 A40 A41 A42 A43 A44 A45 A46 A47 A48 A49 A50 A51 A52 A53 A54 A55 A56 A57 A58 A60 A61 A62 A63 A64 A65 A66 B1 B2 B3 B4 B5 B6 B7 B8 B9 B10 B11 B12 B13 B14 B15 B16 B17 B18 B19 B20 B21 B22 B23 B24 B25 B26 B27 B28 B29 B30 B31 B32 B33 B34 B35 B36 B37 B38 B39 B40 B41 B42 B43 B44 B45 B46 B47 B48 B49 B50 B51 B52 B53 B54 B55 B56 B57 B58 C59 B60 B61 B62 B63 B64 B65 B66 C1 C2 C3 C4 C5 C6 C7 C8 C9 D10 C12 D13 C14 D15 C16 C17 C19 C26 C27 C28 C29 C34 C35 C36 C37 C38 C39 C40 C41 C42 C43 C44 C45 C46 C47 C48 C49 C50 C51 C52 C53 C54 C55 C56 C57 C58 D59 C60 C61 C62 C63 C64 C65 C66 D1 D2 D3 D4 D5 D6 D7 D8 D9 E10 D11 D12 E13 D14 E15 D16 D17 D19 D26 D27 D28 D29 D34 D35 D36 D37 D38 D39 D40 D41 D42 D43 D44 D45 D46 D47 D48 D49 D50 D51 D52 D53 D54 D55 D56 D57 D58 E59 D60 D61 D62 D63 D64 D65 D66 E1 E2 E3 E4 E5 E6 E7 E8 E9 F10 E11 E12 F13 E14 F15 E16 E17 E19 E26 E27 E28 E29 E34 E35 E36 E37 E38 E39 E40 E41 E42 E43 E44 E45 E46 E47 E48 E49 E50 E51 E52 E53 E54 E55 E56 E57 E58 F59 E60 E61 E62 E63 E64 E65 E66 F1 F2 F3 F4 F5 F6 F7 F8 F9 G11 F11 F12 G14 F14 G16 F16 F17 F19 F26 F27 F28 F29 F34 F35 F36 F37 F38 F39 F40 F41 F42 F43 F44 F45 F46 F47 F48 F49 F50 F51 F52 F53 F54 F55 F56 F57 F58 G59 F60 F61 F62 F63 F64 F65 F66 G1 G2 G3 G4 G5 G6 G7 G8 G9 C18:F18 H10 H11 G12 G13 G15 H16 G17 G18 G19 G26 G27 G28 G29 G34 G35 G36 G37 G38 G39 G40 G41 G42 G43 G44 G45 G46 G47 G48 G49 G50 G51 G52 G53 G54 G55 G56 G57 G58 H59 G60 G61 G62 G63 G64 G65 G66 H1 H2 H3 H4 H5 H6 H7 H8 H9 I10 I11 I12 I13 H14 H15 I16 H17 H18 H19 H26 H27 H28 H29 H34 H35 H36 H37 H38 H39 H40 H41 H42 H43 H44 H45 H46 H47 H48 H49 H50 H51 H52 H53 H54 H55 H56 H57 H58 I59 H60 H61 H62 H63 H64 H65 H66 I1 I2 I3 I4 I5 I6 I7 I8 I9 J10 J11 J12 I14 I15 I17 I18 I19 I26 I27 I28 I29 I34 I35 I36 I37 I38 I39 I40 I41 I42 I43 I44 I45 I46 I47 I48 I49 I50 I51 I52 I53 I54 I55 I56 I57 I58 J59 I60 I61 I62 I63 I64 I65 I66 J1 J2 J3 J4 J5 J6 J7 J8 J9 K10 K11 O60 J14 J15 J16 J17 J19 J26 K27 O50 O51 O52 O53 O54 J34 J35 J36 J37 J38 J39 J40 J41 J42 J43 J44 J45 J46 J47 J48 J49 J50 J51 J52 J53 J54 J55 J56 J57 J58 K59 J60 J61 J62 J63 J64 J65 J66 K1 K2 K3 K4 K5 K6 K7 K8 K9 L10 L11 K12 K13 K14 K15 K16 K17 K19 O55 O56 O57 J13 O64 K34 K35 K36 K37 K38 K39 K40 K41 K42 K43 K44 K45 K46 K47 K48 K49 K50 K51 K52 K53 K54 K55 K56 K57 K58 L59 K60 K61 K62 K63 K64 K65 K66 L1 L2 L3 L4 L5 L6 L7 L8 L9 M11 M13 L12 L13 M16 L15 L16 L17 L19 L27 L28 L29 L34 L35 L36 L37 L38 L39 L40 L41 L42 L43 L44 L45 L46 L47 L48 L49 L50 L51 L52 L53 L54 L55 L56 L57 L58 M59 L60 L61 L62 L63 L64 L65 L66 M1 M2 M3 M4 M5 M6 M7 M8 M9 N10 N11 N12 M14 M15 N15 M17 M18 M19 M26 M27 M28 M29 M34 M35 M36 M37 M38 M39 M40 M41 M42 M43 M44 M45 M46 M47 M48 M49 M50 M51 M52 M53 M54 M55 M56 M57 M58 N59 M60 M61 M62 M63 M64 M65 M66 N1 N2 N3 N4 N5 N6 N7 N8 N9 O10 O11 N13 N14 N16 N17 N18 N19 N27 N28 N29 N34 N35 N36 N37 N38 N39 N40 N41 N42 N43 N44 N45 N46 N47 N48 N49 N50 N51 N52 N53 N54 N55 N56 N57 N58 N60 N61 N62 N63 N64 N65 N66 O1 O2 O3 O4 O5 O6 O7 O8 O9 O13 O14 O15 O16 O17 O18 O19 O20 O21 O22 O23 O24 O25 O26 O27 O28 O29 O30 O31 O32 O33 O34 O35 O36 O37 O38 O39 O40 O41 O42 O43 O44 O45 O46 O47 O48 O49 K28 J29 J31 J32 J33 K29 K31 K32 K33 O66" xr:uid="{00000000-0002-0000-0600-000004000000}">
      <formula1>FALSE</formula1>
    </dataValidation>
    <dataValidation type="custom" allowBlank="1" showInputMessage="1" showErrorMessage="1" sqref="N26 K26:L26 M21:N25 L21:L25" xr:uid="{00000000-0002-0000-0600-000005000000}">
      <formula1>FALSE</formula1>
    </dataValidation>
    <dataValidation allowBlank="1" showInputMessage="1" showErrorMessage="1" error="Hier a.u.b. geen wijzigingen" sqref="J18:L18" xr:uid="{00000000-0002-0000-0600-000006000000}"/>
    <dataValidation allowBlank="1" showInputMessage="1" showErrorMessage="1" prompt="Kies voor welke activiteit u deze kosten maakt. Gebruik hiervoor het nummer in onderstaande tabel &quot;Subsidiabele Activiteiten&quot;." sqref="C20" xr:uid="{00000000-0002-0000-0600-000007000000}"/>
  </dataValidations>
  <pageMargins left="0.7" right="0.7" top="0.75" bottom="0.75" header="0.3" footer="0.3"/>
  <pageSetup paperSize="9" scale="77" fitToHeight="0" orientation="landscape" r:id="rId1"/>
  <ignoredErrors>
    <ignoredError sqref="I21:I25 M25:N25 M21:N21 M22:N22 M23:N23 M24:N24"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N90"/>
  <sheetViews>
    <sheetView showGridLines="0" zoomScaleNormal="100" workbookViewId="0">
      <selection activeCell="C12" sqref="C12"/>
    </sheetView>
  </sheetViews>
  <sheetFormatPr defaultColWidth="9.125" defaultRowHeight="0" customHeight="1" zeroHeight="1" x14ac:dyDescent="0.2"/>
  <cols>
    <col min="1" max="2" width="2.875" style="3" customWidth="1"/>
    <col min="3" max="3" width="12.875" style="3" customWidth="1"/>
    <col min="4" max="4" width="57.125" style="3" customWidth="1"/>
    <col min="5" max="5" width="17.25" style="3" customWidth="1"/>
    <col min="6" max="6" width="7" style="3" customWidth="1"/>
    <col min="7" max="7" width="8.75" style="3" customWidth="1"/>
    <col min="8" max="9" width="7" style="3" customWidth="1"/>
    <col min="10" max="10" width="5.75" style="3" customWidth="1"/>
    <col min="11" max="14" width="15.75" style="68" customWidth="1"/>
    <col min="15" max="16384" width="9.125" style="68"/>
  </cols>
  <sheetData>
    <row r="1" spans="1:14" ht="10.199999999999999" x14ac:dyDescent="0.2">
      <c r="A1" s="2"/>
      <c r="B1" s="2"/>
      <c r="C1" s="2"/>
      <c r="D1" s="2"/>
      <c r="E1" s="2"/>
      <c r="F1" s="2"/>
      <c r="G1" s="2"/>
      <c r="H1" s="2"/>
      <c r="I1" s="2"/>
      <c r="J1" s="2"/>
      <c r="K1" s="69"/>
      <c r="L1" s="69"/>
      <c r="M1" s="69"/>
      <c r="N1" s="69"/>
    </row>
    <row r="2" spans="1:14" ht="10.199999999999999" x14ac:dyDescent="0.2">
      <c r="A2" s="2"/>
      <c r="B2" s="2"/>
      <c r="D2" s="2"/>
      <c r="E2" s="2"/>
      <c r="F2" s="2"/>
      <c r="G2" s="2"/>
      <c r="J2" s="2"/>
      <c r="K2" s="69"/>
      <c r="L2" s="69"/>
      <c r="M2" s="69"/>
      <c r="N2" s="69"/>
    </row>
    <row r="3" spans="1:14" ht="10.199999999999999" x14ac:dyDescent="0.2">
      <c r="A3" s="2"/>
      <c r="B3" s="2"/>
      <c r="C3" s="4"/>
      <c r="D3" s="2"/>
      <c r="E3" s="2"/>
      <c r="F3" s="2"/>
      <c r="G3" s="2"/>
      <c r="J3" s="2"/>
      <c r="K3" s="69"/>
      <c r="L3" s="69"/>
      <c r="M3" s="69"/>
      <c r="N3" s="69"/>
    </row>
    <row r="4" spans="1:14" ht="17.399999999999999" x14ac:dyDescent="0.3">
      <c r="C4" s="16"/>
      <c r="D4" s="2"/>
      <c r="E4" s="2"/>
      <c r="F4" s="2"/>
      <c r="G4" s="2"/>
    </row>
    <row r="5" spans="1:14" ht="10.199999999999999" x14ac:dyDescent="0.2">
      <c r="C5" s="5"/>
      <c r="D5" s="2"/>
      <c r="E5" s="2"/>
      <c r="F5" s="2"/>
      <c r="G5" s="2"/>
    </row>
    <row r="6" spans="1:14" ht="10.199999999999999" x14ac:dyDescent="0.2">
      <c r="C6" s="2"/>
      <c r="D6" s="2"/>
      <c r="E6" s="2"/>
      <c r="F6" s="2"/>
      <c r="G6" s="2"/>
    </row>
    <row r="7" spans="1:14" ht="10.199999999999999" x14ac:dyDescent="0.2">
      <c r="C7" s="42"/>
      <c r="D7" s="64" t="s">
        <v>115</v>
      </c>
      <c r="E7" s="42"/>
      <c r="F7" s="42"/>
      <c r="G7" s="42"/>
      <c r="H7" s="42"/>
      <c r="I7" s="42"/>
      <c r="J7" s="42"/>
      <c r="K7" s="69"/>
    </row>
    <row r="8" spans="1:14" ht="10.199999999999999" x14ac:dyDescent="0.2">
      <c r="C8" s="42"/>
      <c r="D8" s="64"/>
      <c r="E8" s="42"/>
      <c r="F8" s="42"/>
      <c r="G8" s="42"/>
      <c r="H8" s="42"/>
      <c r="I8" s="42"/>
      <c r="J8" s="42"/>
      <c r="K8" s="69"/>
    </row>
    <row r="9" spans="1:14" ht="10.199999999999999" x14ac:dyDescent="0.2">
      <c r="C9" s="2"/>
      <c r="D9" s="2"/>
      <c r="E9" s="2"/>
      <c r="F9" s="2"/>
      <c r="G9" s="2"/>
    </row>
    <row r="10" spans="1:14" ht="20.25" customHeight="1" x14ac:dyDescent="0.2">
      <c r="C10" s="114" t="s">
        <v>87</v>
      </c>
      <c r="D10" s="9"/>
      <c r="E10" s="2"/>
      <c r="F10" s="2"/>
      <c r="G10" s="2"/>
    </row>
    <row r="11" spans="1:14" ht="42.75" customHeight="1" x14ac:dyDescent="0.2">
      <c r="C11" s="82" t="s">
        <v>63</v>
      </c>
      <c r="D11" s="109" t="s">
        <v>0</v>
      </c>
      <c r="E11" s="108" t="s">
        <v>101</v>
      </c>
      <c r="F11" s="270" t="s">
        <v>112</v>
      </c>
      <c r="G11" s="271"/>
      <c r="H11" s="184" t="s">
        <v>71</v>
      </c>
      <c r="J11" s="181" t="s">
        <v>97</v>
      </c>
    </row>
    <row r="12" spans="1:14" s="70" customFormat="1" ht="18" customHeight="1" x14ac:dyDescent="0.2">
      <c r="A12" s="13"/>
      <c r="B12" s="13"/>
      <c r="C12" s="141">
        <f>IF(Beginpagina!$C$22=0,"",Beginpagina!$C$22)</f>
        <v>1</v>
      </c>
      <c r="D12" s="140" t="str">
        <f>IF(Beginpagina!$D$22=0,"",Beginpagina!$D$22)</f>
        <v xml:space="preserve">Het inrichten en oprichten van een LEI </v>
      </c>
      <c r="E12" s="189">
        <f>SUMIF(tblPersoneelskosten[Activiteit (klik op de cel en vul deze altijd in)],C12,tblPersoneelskosten[Totale loon- kosten])+SUMIF(tblLoonkostenDerden[Activiteit (klik op de cel voor info en vul deze altijd in)],C12,tblLoonkostenDerden[Kosten totaal])+SUMIF(tblOverigeKostenDerden[Activiteit (klik op de cel voor info en vul deze altijd in)],C12,tblOverigeKostenDerden[Kosten totaal])+SUMIF(tblVrijwilligersvergoeding[Activiteit (klik op de cel voor info en vul deze altijd in)],C12,tblVrijwilligersvergoeding[Kosten totaal])+SUMIF(tblOverigeKostenVrijwilligers[Activiteit (klik op de cel voor info en vul deze altijd in)],C12,tblOverigeKostenVrijwilligers[Kosten totaal])+SUMIF(tblMachinesApparatuur[Activiteit (klik op de cel voor info en vul deze altijd in)],C12,tblMachinesApparatuur[Kosten totaal])</f>
        <v>0</v>
      </c>
      <c r="F12" s="268">
        <f>IF(H12&gt;J12,J12,H12)</f>
        <v>0</v>
      </c>
      <c r="G12" s="269"/>
      <c r="H12" s="185">
        <f>_xlfn.IFNA(VLOOKUP(C12,Beginpagina!$C$21:$G$26,5,0),"")</f>
        <v>2500</v>
      </c>
      <c r="I12" s="13"/>
      <c r="J12" s="182">
        <f>SUMIF(tblPersoneelskosten[Activiteit (klik op de cel en vul deze altijd in)],C12,tblPersoneelskosten[Subsidie aanvraag])+SUMIF(tblLoonkostenDerden[Activiteit (klik op de cel voor info en vul deze altijd in)],C12,tblLoonkostenDerden[Subsidie aanvraag])+SUMIF(tblOverigeKostenDerden[Activiteit (klik op de cel voor info en vul deze altijd in)],C12,tblOverigeKostenDerden[Subsidie aanvraag])+SUMIF(tblVrijwilligersvergoeding[Activiteit (klik op de cel voor info en vul deze altijd in)],C12,tblVrijwilligersvergoeding[Subsidie aanvraag])+SUMIF(tblOverigeKostenVrijwilligers[Activiteit (klik op de cel voor info en vul deze altijd in)],C12,tblOverigeKostenVrijwilligers[Subsidie aanvraag])+SUMIF(tblMachinesApparatuur[Activiteit (klik op de cel voor info en vul deze altijd in)],C12,tblMachinesApparatuur[Subsidie aanvraag])</f>
        <v>0</v>
      </c>
      <c r="K12" s="190" t="str">
        <f>IF(F12&lt;Beginpagina!F22,"Let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3" spans="1:14" s="70" customFormat="1" ht="18" customHeight="1" x14ac:dyDescent="0.2">
      <c r="A13" s="13"/>
      <c r="B13" s="13"/>
      <c r="C13" s="141">
        <f>IF(Beginpagina!$C$23=0,"",Beginpagina!$C$23)</f>
        <v>2</v>
      </c>
      <c r="D13" s="140" t="str">
        <f>IF(Beginpagina!$D$23=0,"",Beginpagina!$D$23)</f>
        <v xml:space="preserve">Uitvoeren van een energiebesparingsproject/eenvoudige energiebesparingsmaatregelen </v>
      </c>
      <c r="E13" s="189">
        <f>SUMIF(tblPersoneelskosten[Activiteit (klik op de cel en vul deze altijd in)],C13,tblPersoneelskosten[Totale loon- kosten])+SUMIF(tblLoonkostenDerden[Activiteit (klik op de cel voor info en vul deze altijd in)],C13,tblLoonkostenDerden[Kosten totaal])+SUMIF(tblOverigeKostenDerden[Activiteit (klik op de cel voor info en vul deze altijd in)],C13,tblOverigeKostenDerden[Kosten totaal])+SUMIF(tblVrijwilligersvergoeding[Activiteit (klik op de cel voor info en vul deze altijd in)],C13,tblVrijwilligersvergoeding[Kosten totaal])+SUMIF(tblOverigeKostenVrijwilligers[Activiteit (klik op de cel voor info en vul deze altijd in)],C13,tblOverigeKostenVrijwilligers[Kosten totaal])+SUMIF(tblMachinesApparatuur[Activiteit (klik op de cel voor info en vul deze altijd in)],C13,tblMachinesApparatuur[Kosten totaal])</f>
        <v>0</v>
      </c>
      <c r="F13" s="268">
        <f>IF(H13&gt;J13,J13,H13)</f>
        <v>0</v>
      </c>
      <c r="G13" s="269"/>
      <c r="H13" s="185">
        <f>_xlfn.IFNA(VLOOKUP(C13,Beginpagina!$C$21:$G$26,5,0),"")</f>
        <v>10000</v>
      </c>
      <c r="I13" s="13"/>
      <c r="J13" s="182">
        <f>SUMIF(tblPersoneelskosten[Activiteit (klik op de cel en vul deze altijd in)],C13,tblPersoneelskosten[Subsidie aanvraag])+SUMIF(tblLoonkostenDerden[Activiteit (klik op de cel voor info en vul deze altijd in)],C13,tblLoonkostenDerden[Subsidie aanvraag])+SUMIF(tblOverigeKostenDerden[Activiteit (klik op de cel voor info en vul deze altijd in)],C13,tblOverigeKostenDerden[Subsidie aanvraag])+SUMIF(tblVrijwilligersvergoeding[Activiteit (klik op de cel voor info en vul deze altijd in)],C13,tblVrijwilligersvergoeding[Subsidie aanvraag])+SUMIF(tblOverigeKostenVrijwilligers[Activiteit (klik op de cel voor info en vul deze altijd in)],C13,tblOverigeKostenVrijwilligers[Subsidie aanvraag])+SUMIF(tblMachinesApparatuur[Activiteit (klik op de cel voor info en vul deze altijd in)],C13,tblMachinesApparatuur[Subsidie aanvraag])</f>
        <v>0</v>
      </c>
      <c r="K13" s="190" t="str">
        <f>IF(F13&lt;Beginpagina!F23,"Let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4" spans="1:14" s="70" customFormat="1" ht="18" customHeight="1" x14ac:dyDescent="0.2">
      <c r="A14" s="13"/>
      <c r="B14" s="13"/>
      <c r="C14" s="141">
        <f>IF(Beginpagina!$C$24=0,"",Beginpagina!$C$24)</f>
        <v>3</v>
      </c>
      <c r="D14" s="140" t="str">
        <f>IF(Beginpagina!$D$24=0,"",Beginpagina!$D$24)</f>
        <v xml:space="preserve">Opleiden van vrijwilligers tot energiefixer of energiebesparingscoach </v>
      </c>
      <c r="E14" s="189">
        <f>SUMIF(tblPersoneelskosten[Activiteit (klik op de cel en vul deze altijd in)],C14,tblPersoneelskosten[Totale loon- kosten])+SUMIF(tblLoonkostenDerden[Activiteit (klik op de cel voor info en vul deze altijd in)],C14,tblLoonkostenDerden[Kosten totaal])+SUMIF(tblOverigeKostenDerden[Activiteit (klik op de cel voor info en vul deze altijd in)],C14,tblOverigeKostenDerden[Kosten totaal])+SUMIF(tblVrijwilligersvergoeding[Activiteit (klik op de cel voor info en vul deze altijd in)],C14,tblVrijwilligersvergoeding[Kosten totaal])+SUMIF(tblOverigeKostenVrijwilligers[Activiteit (klik op de cel voor info en vul deze altijd in)],C14,tblOverigeKostenVrijwilligers[Kosten totaal])+SUMIF(tblMachinesApparatuur[Activiteit (klik op de cel voor info en vul deze altijd in)],C14,tblMachinesApparatuur[Kosten totaal])</f>
        <v>0</v>
      </c>
      <c r="F14" s="268">
        <f>IF(H14&gt;J14,J14,H14)</f>
        <v>0</v>
      </c>
      <c r="G14" s="269"/>
      <c r="H14" s="185">
        <f>_xlfn.IFNA(VLOOKUP(C14,Beginpagina!$C$21:$G$26,5,0),"")</f>
        <v>2500</v>
      </c>
      <c r="I14" s="13"/>
      <c r="J14" s="182">
        <f>SUMIF(tblPersoneelskosten[Activiteit (klik op de cel en vul deze altijd in)],C14,tblPersoneelskosten[Subsidie aanvraag])+SUMIF(tblLoonkostenDerden[Activiteit (klik op de cel voor info en vul deze altijd in)],C14,tblLoonkostenDerden[Subsidie aanvraag])+SUMIF(tblOverigeKostenDerden[Activiteit (klik op de cel voor info en vul deze altijd in)],C14,tblOverigeKostenDerden[Subsidie aanvraag])+SUMIF(tblVrijwilligersvergoeding[Activiteit (klik op de cel voor info en vul deze altijd in)],C14,tblVrijwilligersvergoeding[Subsidie aanvraag])+SUMIF(tblOverigeKostenVrijwilligers[Activiteit (klik op de cel voor info en vul deze altijd in)],C14,tblOverigeKostenVrijwilligers[Subsidie aanvraag])+SUMIF(tblMachinesApparatuur[Activiteit (klik op de cel voor info en vul deze altijd in)],C14,tblMachinesApparatuur[Subsidie aanvraag])</f>
        <v>0</v>
      </c>
      <c r="K14" s="190" t="str">
        <f>IF(F14&lt;Beginpagina!F24,"Let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5" spans="1:14" s="70" customFormat="1" ht="18" customHeight="1" x14ac:dyDescent="0.2">
      <c r="A15" s="13"/>
      <c r="B15" s="13"/>
      <c r="C15" s="141">
        <f>IF(Beginpagina!$C$25=0,"",Beginpagina!$C$25)</f>
        <v>4</v>
      </c>
      <c r="D15" s="140" t="str">
        <f>IF(Beginpagina!$D$25=0,"",Beginpagina!$D$25)</f>
        <v xml:space="preserve">Het voorbereiden van een energieopwekproject </v>
      </c>
      <c r="E15" s="189">
        <f>SUMIF(tblPersoneelskosten[Activiteit (klik op de cel en vul deze altijd in)],C15,tblPersoneelskosten[Totale loon- kosten])+SUMIF(tblLoonkostenDerden[Activiteit (klik op de cel voor info en vul deze altijd in)],C15,tblLoonkostenDerden[Kosten totaal])+SUMIF(tblOverigeKostenDerden[Activiteit (klik op de cel voor info en vul deze altijd in)],C15,tblOverigeKostenDerden[Kosten totaal])+SUMIF(tblVrijwilligersvergoeding[Activiteit (klik op de cel voor info en vul deze altijd in)],C15,tblVrijwilligersvergoeding[Kosten totaal])+SUMIF(tblOverigeKostenVrijwilligers[Activiteit (klik op de cel voor info en vul deze altijd in)],C15,tblOverigeKostenVrijwilligers[Kosten totaal])+SUMIF(tblMachinesApparatuur[Activiteit (klik op de cel voor info en vul deze altijd in)],C15,tblMachinesApparatuur[Kosten totaal])</f>
        <v>0</v>
      </c>
      <c r="F15" s="268">
        <f>IF(H15&gt;J15,J15,H15)</f>
        <v>0</v>
      </c>
      <c r="G15" s="269"/>
      <c r="H15" s="185">
        <f>_xlfn.IFNA(VLOOKUP(C15,Beginpagina!$C$21:$G$26,5,0),"")</f>
        <v>5000</v>
      </c>
      <c r="I15" s="13"/>
      <c r="J15" s="182">
        <f>SUMIF(tblPersoneelskosten[Activiteit (klik op de cel en vul deze altijd in)],C15,tblPersoneelskosten[Subsidie aanvraag])+SUMIF(tblLoonkostenDerden[Activiteit (klik op de cel voor info en vul deze altijd in)],C15,tblLoonkostenDerden[Subsidie aanvraag])+SUMIF(tblOverigeKostenDerden[Activiteit (klik op de cel voor info en vul deze altijd in)],C15,tblOverigeKostenDerden[Subsidie aanvraag])+SUMIF(tblVrijwilligersvergoeding[Activiteit (klik op de cel voor info en vul deze altijd in)],C15,tblVrijwilligersvergoeding[Subsidie aanvraag])+SUMIF(tblOverigeKostenVrijwilligers[Activiteit (klik op de cel voor info en vul deze altijd in)],C15,tblOverigeKostenVrijwilligers[Subsidie aanvraag])+SUMIF(tblMachinesApparatuur[Activiteit (klik op de cel voor info en vul deze altijd in)],C15,tblMachinesApparatuur[Subsidie aanvraag])</f>
        <v>0</v>
      </c>
      <c r="K15" s="190" t="str">
        <f>IF(F15&lt;Beginpagina!F25,"Let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6" spans="1:14" s="70" customFormat="1" ht="18" customHeight="1" x14ac:dyDescent="0.2">
      <c r="A16" s="13"/>
      <c r="B16" s="13"/>
      <c r="C16" s="141">
        <f>IF(Beginpagina!$C$26=0,"",Beginpagina!$C$26)</f>
        <v>5</v>
      </c>
      <c r="D16" s="140" t="str">
        <f>IF(Beginpagina!$D$27=0,"",Beginpagina!$D$27)</f>
        <v/>
      </c>
      <c r="E16" s="189">
        <f>SUMIF(tblPersoneelskosten[Activiteit (klik op de cel en vul deze altijd in)],C16,tblPersoneelskosten[Totale loon- kosten])+SUMIF(tblLoonkostenDerden[Activiteit (klik op de cel voor info en vul deze altijd in)],C16,tblLoonkostenDerden[Kosten totaal])+SUMIF(tblOverigeKostenDerden[Activiteit (klik op de cel voor info en vul deze altijd in)],C16,tblOverigeKostenDerden[Kosten totaal])+SUMIF(tblVrijwilligersvergoeding[Activiteit (klik op de cel voor info en vul deze altijd in)],C16,tblVrijwilligersvergoeding[Kosten totaal])+SUMIF(tblOverigeKostenVrijwilligers[Activiteit (klik op de cel voor info en vul deze altijd in)],C16,tblOverigeKostenVrijwilligers[Kosten totaal])+SUMIF(tblMachinesApparatuur[Activiteit (klik op de cel voor info en vul deze altijd in)],C16,tblMachinesApparatuur[Kosten totaal])</f>
        <v>0</v>
      </c>
      <c r="F16" s="268">
        <f>IF(H16&gt;J16,J16,H16)</f>
        <v>0</v>
      </c>
      <c r="G16" s="269"/>
      <c r="H16" s="185">
        <f>_xlfn.IFNA(VLOOKUP(C16,Beginpagina!$C$21:$G$26,5,0),"")</f>
        <v>10000</v>
      </c>
      <c r="I16" s="13"/>
      <c r="J16" s="182">
        <f>SUMIF(tblPersoneelskosten[Activiteit (klik op de cel en vul deze altijd in)],C16,tblPersoneelskosten[Subsidie aanvraag])+SUMIF(tblLoonkostenDerden[Activiteit (klik op de cel voor info en vul deze altijd in)],C16,tblLoonkostenDerden[Subsidie aanvraag])+SUMIF(tblOverigeKostenDerden[Activiteit (klik op de cel voor info en vul deze altijd in)],C16,tblOverigeKostenDerden[Subsidie aanvraag])+SUMIF(tblVrijwilligersvergoeding[Activiteit (klik op de cel voor info en vul deze altijd in)],C16,tblVrijwilligersvergoeding[Subsidie aanvraag])+SUMIF(tblOverigeKostenVrijwilligers[Activiteit (klik op de cel voor info en vul deze altijd in)],C16,tblOverigeKostenVrijwilligers[Subsidie aanvraag])+SUMIF(tblMachinesApparatuur[Activiteit (klik op de cel voor info en vul deze altijd in)],C16,tblMachinesApparatuur[Subsidie aanvraag])</f>
        <v>0</v>
      </c>
      <c r="K16" s="190" t="str">
        <f>IF(F16&lt;Beginpagina!F26,"Let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7" spans="1:11" s="70" customFormat="1" ht="18" customHeight="1" x14ac:dyDescent="0.2">
      <c r="A17" s="13"/>
      <c r="B17" s="13"/>
      <c r="C17" s="224" t="s">
        <v>90</v>
      </c>
      <c r="D17" s="225"/>
      <c r="E17" s="225"/>
      <c r="F17" s="268"/>
      <c r="G17" s="269"/>
      <c r="H17" s="185"/>
      <c r="I17" s="13"/>
      <c r="J17" s="182"/>
      <c r="K17" s="190"/>
    </row>
    <row r="18" spans="1:11" s="70" customFormat="1" ht="18" customHeight="1" thickBot="1" x14ac:dyDescent="0.25">
      <c r="A18" s="13"/>
      <c r="B18" s="13"/>
      <c r="C18" s="224" t="s">
        <v>90</v>
      </c>
      <c r="D18" s="225"/>
      <c r="E18" s="225"/>
      <c r="F18" s="285"/>
      <c r="G18" s="286"/>
      <c r="H18" s="186"/>
      <c r="I18" s="13"/>
      <c r="J18" s="182"/>
      <c r="K18" s="190"/>
    </row>
    <row r="19" spans="1:11" s="70" customFormat="1" ht="15" customHeight="1" thickTop="1" x14ac:dyDescent="0.2">
      <c r="A19" s="13"/>
      <c r="B19" s="13"/>
      <c r="C19" s="138" t="s">
        <v>19</v>
      </c>
      <c r="D19" s="138"/>
      <c r="E19" s="138">
        <f>SUM(E12:E18)</f>
        <v>0</v>
      </c>
      <c r="F19" s="287">
        <f>SUM(F12:G16)</f>
        <v>0</v>
      </c>
      <c r="G19" s="288"/>
      <c r="H19" s="187">
        <f>SUM(F12:G16)</f>
        <v>0</v>
      </c>
      <c r="I19" s="13"/>
      <c r="J19" s="183">
        <f>SUM(Totaaloverzicht!$J$12:$J$16)</f>
        <v>0</v>
      </c>
    </row>
    <row r="20" spans="1:11" s="70" customFormat="1" ht="10.5" customHeight="1" x14ac:dyDescent="0.2">
      <c r="A20" s="13"/>
      <c r="B20" s="13"/>
      <c r="C20" s="128"/>
      <c r="D20" s="129"/>
      <c r="E20" s="130"/>
      <c r="F20" s="131"/>
      <c r="G20" s="132"/>
      <c r="H20" s="131"/>
      <c r="I20" s="132"/>
      <c r="J20" s="13"/>
    </row>
    <row r="21" spans="1:11" s="70" customFormat="1" ht="10.5" customHeight="1" x14ac:dyDescent="0.2">
      <c r="A21" s="13"/>
      <c r="B21" s="13"/>
      <c r="C21" s="21"/>
      <c r="D21" s="21"/>
      <c r="E21"/>
      <c r="F21"/>
      <c r="G21"/>
      <c r="H21"/>
      <c r="I21"/>
      <c r="J21" s="13"/>
    </row>
    <row r="22" spans="1:11" s="70" customFormat="1" ht="10.5" customHeight="1" x14ac:dyDescent="0.2">
      <c r="A22" s="13"/>
      <c r="B22" s="13"/>
      <c r="C22" s="22" t="s">
        <v>22</v>
      </c>
      <c r="D22" s="23"/>
      <c r="E22"/>
      <c r="F22"/>
      <c r="G22"/>
      <c r="H22"/>
      <c r="I22"/>
      <c r="J22" s="13"/>
    </row>
    <row r="23" spans="1:11" s="70" customFormat="1" ht="6.75" customHeight="1" x14ac:dyDescent="0.2">
      <c r="A23" s="13"/>
      <c r="B23" s="13"/>
      <c r="C23" s="21"/>
      <c r="D23" s="21"/>
      <c r="E23"/>
      <c r="F23"/>
      <c r="G23"/>
      <c r="H23"/>
      <c r="I23"/>
      <c r="J23" s="13"/>
    </row>
    <row r="24" spans="1:11" s="70" customFormat="1" ht="10.5" customHeight="1" x14ac:dyDescent="0.2">
      <c r="A24" s="13"/>
      <c r="B24" s="13"/>
      <c r="C24" s="38" t="s">
        <v>20</v>
      </c>
      <c r="D24" s="23"/>
      <c r="E24"/>
      <c r="F24"/>
      <c r="G24"/>
      <c r="H24"/>
      <c r="I24"/>
      <c r="J24" s="13"/>
    </row>
    <row r="25" spans="1:11" s="70" customFormat="1" ht="15" customHeight="1" x14ac:dyDescent="0.2">
      <c r="A25" s="13"/>
      <c r="B25" s="13"/>
      <c r="C25" s="290" t="s">
        <v>13</v>
      </c>
      <c r="D25" s="291"/>
      <c r="E25" s="116" t="s">
        <v>12</v>
      </c>
      <c r="F25"/>
      <c r="G25" s="293" t="s">
        <v>80</v>
      </c>
      <c r="H25" s="293"/>
      <c r="I25"/>
      <c r="J25" s="13"/>
    </row>
    <row r="26" spans="1:11" s="70" customFormat="1" ht="15" customHeight="1" x14ac:dyDescent="0.2">
      <c r="A26" s="13"/>
      <c r="B26" s="13"/>
      <c r="C26" s="276"/>
      <c r="D26" s="276"/>
      <c r="E26" s="226"/>
      <c r="F26"/>
      <c r="G26" s="292" t="s">
        <v>79</v>
      </c>
      <c r="H26" s="292"/>
      <c r="I26"/>
      <c r="J26" s="13"/>
    </row>
    <row r="27" spans="1:11" s="70" customFormat="1" ht="10.5" customHeight="1" x14ac:dyDescent="0.2">
      <c r="A27" s="13"/>
      <c r="B27" s="13"/>
      <c r="C27" s="21"/>
      <c r="D27" s="21"/>
      <c r="E27"/>
      <c r="F27"/>
      <c r="G27" s="292"/>
      <c r="H27" s="292"/>
      <c r="I27"/>
      <c r="J27" s="13"/>
    </row>
    <row r="28" spans="1:11" s="70" customFormat="1" ht="10.5" customHeight="1" thickBot="1" x14ac:dyDescent="0.25">
      <c r="A28" s="13"/>
      <c r="B28" s="13"/>
      <c r="C28" s="39" t="s">
        <v>109</v>
      </c>
      <c r="D28" s="10"/>
      <c r="E28"/>
      <c r="F28"/>
      <c r="G28" s="292"/>
      <c r="H28" s="292"/>
      <c r="I28"/>
      <c r="J28" s="13"/>
    </row>
    <row r="29" spans="1:11" s="70" customFormat="1" ht="10.5" customHeight="1" thickBot="1" x14ac:dyDescent="0.25">
      <c r="A29" s="13"/>
      <c r="B29" s="13"/>
      <c r="C29" s="294" t="s">
        <v>104</v>
      </c>
      <c r="D29" s="294"/>
      <c r="E29" s="107"/>
      <c r="F29" s="107"/>
      <c r="G29" s="274">
        <f>$E$19-$E$26-E$37-$E$48-$E$52</f>
        <v>0</v>
      </c>
      <c r="H29" s="275"/>
      <c r="I29" s="107"/>
      <c r="J29" s="13"/>
    </row>
    <row r="30" spans="1:11" s="70" customFormat="1" ht="10.5" customHeight="1" x14ac:dyDescent="0.2">
      <c r="A30" s="13"/>
      <c r="B30" s="13"/>
      <c r="C30" s="294"/>
      <c r="D30" s="294"/>
      <c r="E30" s="107"/>
      <c r="F30" s="107"/>
      <c r="G30" s="13"/>
      <c r="H30" s="13"/>
      <c r="I30" s="107"/>
      <c r="J30" s="13"/>
    </row>
    <row r="31" spans="1:11" ht="15" customHeight="1" x14ac:dyDescent="0.2">
      <c r="C31" s="290" t="s">
        <v>13</v>
      </c>
      <c r="D31" s="291"/>
      <c r="E31" s="116" t="s">
        <v>12</v>
      </c>
      <c r="F31"/>
      <c r="G31" s="289"/>
      <c r="H31" s="289"/>
      <c r="I31"/>
    </row>
    <row r="32" spans="1:11" ht="15" customHeight="1" x14ac:dyDescent="0.2">
      <c r="C32" s="276"/>
      <c r="D32" s="276"/>
      <c r="E32" s="226"/>
      <c r="F32" s="123"/>
      <c r="G32" s="123"/>
      <c r="H32" s="123"/>
      <c r="I32" s="123"/>
    </row>
    <row r="33" spans="3:9" ht="15" customHeight="1" x14ac:dyDescent="0.2">
      <c r="C33" s="272"/>
      <c r="D33" s="273"/>
      <c r="E33" s="226"/>
      <c r="F33" s="123"/>
      <c r="G33" s="123"/>
      <c r="H33" s="123"/>
      <c r="I33" s="123"/>
    </row>
    <row r="34" spans="3:9" ht="15" customHeight="1" x14ac:dyDescent="0.2">
      <c r="C34" s="272"/>
      <c r="D34" s="273"/>
      <c r="E34" s="226"/>
      <c r="F34" s="123"/>
      <c r="G34" s="123"/>
      <c r="H34" s="123"/>
      <c r="I34" s="123"/>
    </row>
    <row r="35" spans="3:9" ht="15" customHeight="1" x14ac:dyDescent="0.2">
      <c r="C35" s="276"/>
      <c r="D35" s="276"/>
      <c r="E35" s="226"/>
      <c r="F35" s="123"/>
      <c r="G35" s="123"/>
      <c r="H35" s="123"/>
      <c r="I35" s="123"/>
    </row>
    <row r="36" spans="3:9" ht="15" customHeight="1" thickBot="1" x14ac:dyDescent="0.25">
      <c r="C36" s="276"/>
      <c r="D36" s="276"/>
      <c r="E36" s="227"/>
      <c r="F36" s="123"/>
      <c r="G36" s="123"/>
      <c r="H36" s="123"/>
      <c r="I36" s="123"/>
    </row>
    <row r="37" spans="3:9" ht="15" customHeight="1" thickTop="1" x14ac:dyDescent="0.2">
      <c r="C37" s="277" t="s">
        <v>77</v>
      </c>
      <c r="D37" s="277"/>
      <c r="E37" s="138">
        <f>SUM(E32:E36)</f>
        <v>0</v>
      </c>
      <c r="F37" s="123"/>
      <c r="G37" s="123"/>
      <c r="H37" s="123"/>
      <c r="I37" s="123"/>
    </row>
    <row r="38" spans="3:9" ht="10.5" customHeight="1" x14ac:dyDescent="0.2">
      <c r="C38" s="124"/>
      <c r="D38" s="124"/>
      <c r="E38" s="122"/>
      <c r="F38" s="122"/>
      <c r="G38" s="122"/>
      <c r="H38" s="122"/>
      <c r="I38" s="122"/>
    </row>
    <row r="39" spans="3:9" ht="10.5" customHeight="1" x14ac:dyDescent="0.2">
      <c r="C39" s="125" t="s">
        <v>83</v>
      </c>
      <c r="D39" s="126"/>
      <c r="E39" s="123"/>
      <c r="F39" s="123"/>
      <c r="G39" s="123"/>
      <c r="H39" s="123"/>
      <c r="I39" s="123"/>
    </row>
    <row r="40" spans="3:9" ht="10.5" customHeight="1" x14ac:dyDescent="0.2">
      <c r="C40" s="295" t="s">
        <v>82</v>
      </c>
      <c r="D40" s="295"/>
      <c r="E40" s="123"/>
      <c r="F40" s="123"/>
      <c r="G40" s="123"/>
      <c r="H40" s="123"/>
      <c r="I40" s="123"/>
    </row>
    <row r="41" spans="3:9" ht="12" customHeight="1" x14ac:dyDescent="0.2">
      <c r="C41" s="295"/>
      <c r="D41" s="295"/>
      <c r="E41" s="123"/>
      <c r="F41" s="123"/>
      <c r="G41" s="123"/>
      <c r="H41" s="123"/>
      <c r="I41" s="123"/>
    </row>
    <row r="42" spans="3:9" ht="15" customHeight="1" x14ac:dyDescent="0.2">
      <c r="C42" s="290" t="s">
        <v>13</v>
      </c>
      <c r="D42" s="291"/>
      <c r="E42" s="117" t="s">
        <v>12</v>
      </c>
      <c r="F42" s="123"/>
      <c r="G42" s="123"/>
      <c r="H42" s="123"/>
      <c r="I42" s="123"/>
    </row>
    <row r="43" spans="3:9" ht="15" customHeight="1" x14ac:dyDescent="0.2">
      <c r="C43" s="276"/>
      <c r="D43" s="276"/>
      <c r="E43" s="226"/>
      <c r="F43" s="123"/>
      <c r="G43" s="123"/>
      <c r="H43" s="123"/>
      <c r="I43" s="123"/>
    </row>
    <row r="44" spans="3:9" ht="15" customHeight="1" x14ac:dyDescent="0.2">
      <c r="C44" s="272"/>
      <c r="D44" s="273"/>
      <c r="E44" s="226"/>
      <c r="F44" s="123"/>
      <c r="G44" s="123"/>
      <c r="H44" s="123"/>
      <c r="I44" s="123"/>
    </row>
    <row r="45" spans="3:9" ht="15" customHeight="1" x14ac:dyDescent="0.2">
      <c r="C45" s="272"/>
      <c r="D45" s="273"/>
      <c r="E45" s="226"/>
      <c r="F45" s="123"/>
      <c r="G45" s="123"/>
      <c r="H45" s="123"/>
      <c r="I45" s="123"/>
    </row>
    <row r="46" spans="3:9" ht="15" customHeight="1" x14ac:dyDescent="0.2">
      <c r="C46" s="276"/>
      <c r="D46" s="276"/>
      <c r="E46" s="226"/>
      <c r="F46" s="123"/>
      <c r="G46" s="123"/>
      <c r="H46" s="123"/>
      <c r="I46" s="123"/>
    </row>
    <row r="47" spans="3:9" ht="15" customHeight="1" thickBot="1" x14ac:dyDescent="0.25">
      <c r="C47" s="282"/>
      <c r="D47" s="283"/>
      <c r="E47" s="228"/>
      <c r="F47" s="123"/>
      <c r="G47" s="123"/>
      <c r="H47" s="123"/>
      <c r="I47" s="123"/>
    </row>
    <row r="48" spans="3:9" ht="15" customHeight="1" thickTop="1" x14ac:dyDescent="0.2">
      <c r="C48" s="277" t="s">
        <v>77</v>
      </c>
      <c r="D48" s="277"/>
      <c r="E48" s="138">
        <f>SUM(E43:E47)</f>
        <v>0</v>
      </c>
      <c r="F48" s="123"/>
      <c r="G48" s="123"/>
      <c r="H48" s="123"/>
      <c r="I48" s="123"/>
    </row>
    <row r="49" spans="1:14" s="70" customFormat="1" ht="10.5" customHeight="1" x14ac:dyDescent="0.2">
      <c r="A49" s="13"/>
      <c r="B49" s="13"/>
      <c r="C49" s="21"/>
      <c r="D49" s="21"/>
      <c r="E49"/>
      <c r="F49"/>
      <c r="G49"/>
      <c r="H49"/>
      <c r="I49"/>
      <c r="J49" s="13"/>
    </row>
    <row r="50" spans="1:14" ht="10.5" customHeight="1" x14ac:dyDescent="0.2">
      <c r="C50" s="40" t="s">
        <v>110</v>
      </c>
      <c r="D50" s="11"/>
      <c r="E50"/>
      <c r="F50"/>
      <c r="G50"/>
      <c r="H50"/>
      <c r="I50"/>
    </row>
    <row r="51" spans="1:14" ht="15" customHeight="1" thickBot="1" x14ac:dyDescent="0.25">
      <c r="C51" s="280" t="s">
        <v>13</v>
      </c>
      <c r="D51" s="281"/>
      <c r="E51" s="116" t="s">
        <v>12</v>
      </c>
      <c r="F51"/>
      <c r="G51"/>
      <c r="H51"/>
      <c r="I51"/>
    </row>
    <row r="52" spans="1:14" ht="15" customHeight="1" thickTop="1" x14ac:dyDescent="0.2">
      <c r="C52" s="278" t="s">
        <v>111</v>
      </c>
      <c r="D52" s="279"/>
      <c r="E52" s="161">
        <f>IF(IF((E19-E26-E37-E48)&gt;F19,F19,(E19-E26-E37-E48))&lt;0,0,IF((E19-E26-E37-E48)&gt;F19,F19,(E19-E26-E37-E48)))</f>
        <v>0</v>
      </c>
      <c r="F52"/>
      <c r="G52"/>
      <c r="H52"/>
      <c r="I52"/>
    </row>
    <row r="53" spans="1:14" ht="10.5" customHeight="1" x14ac:dyDescent="0.2">
      <c r="C53" s="12"/>
      <c r="D53" s="12"/>
      <c r="E53"/>
      <c r="F53"/>
      <c r="G53"/>
      <c r="H53"/>
      <c r="I53"/>
    </row>
    <row r="54" spans="1:14" ht="10.5" customHeight="1" x14ac:dyDescent="0.2">
      <c r="C54" s="21"/>
      <c r="D54" s="21"/>
      <c r="E54"/>
      <c r="F54"/>
      <c r="G54"/>
      <c r="H54"/>
      <c r="I54"/>
    </row>
    <row r="55" spans="1:14" ht="10.5" customHeight="1" x14ac:dyDescent="0.2">
      <c r="C55" s="24" t="s">
        <v>24</v>
      </c>
      <c r="D55" s="25"/>
      <c r="E55"/>
      <c r="F55"/>
      <c r="G55"/>
      <c r="H55"/>
      <c r="I55"/>
    </row>
    <row r="56" spans="1:14" ht="10.5" customHeight="1" x14ac:dyDescent="0.2">
      <c r="C56" s="21"/>
      <c r="D56" s="21"/>
      <c r="E56"/>
      <c r="F56"/>
      <c r="G56"/>
      <c r="H56"/>
      <c r="I56"/>
    </row>
    <row r="57" spans="1:14" ht="15" customHeight="1" thickBot="1" x14ac:dyDescent="0.25">
      <c r="C57" s="115" t="s">
        <v>22</v>
      </c>
      <c r="D57" s="159" t="s">
        <v>23</v>
      </c>
      <c r="E57" s="107"/>
      <c r="F57"/>
      <c r="G57"/>
      <c r="H57"/>
      <c r="I57"/>
    </row>
    <row r="58" spans="1:14" ht="15" customHeight="1" thickTop="1" x14ac:dyDescent="0.2">
      <c r="C58" s="127">
        <f>SUM(E26+E37+E48+E52)</f>
        <v>0</v>
      </c>
      <c r="D58" s="160">
        <f>E19</f>
        <v>0</v>
      </c>
      <c r="E58" s="284" t="str">
        <f>IF(C58&lt;&gt;D58,"Let op: de inkomsten en uitgaven zijn niet gelijk aan elkaar! Verander de inkomstenposten, zodat de inkomsten gelijk worden aan de uitgaven.","")</f>
        <v/>
      </c>
      <c r="F58" s="284"/>
      <c r="G58" s="284"/>
      <c r="H58" s="284"/>
      <c r="I58" s="284"/>
    </row>
    <row r="59" spans="1:14" ht="10.5" customHeight="1" x14ac:dyDescent="0.2">
      <c r="C59"/>
      <c r="D59"/>
      <c r="E59" s="284"/>
      <c r="F59" s="284"/>
      <c r="G59" s="284"/>
      <c r="H59" s="284"/>
      <c r="I59" s="284"/>
    </row>
    <row r="60" spans="1:14" ht="22.5" customHeight="1" x14ac:dyDescent="0.2">
      <c r="C60"/>
      <c r="D60"/>
      <c r="E60" s="284"/>
      <c r="F60" s="284"/>
      <c r="G60" s="284"/>
      <c r="H60" s="284"/>
      <c r="I60" s="284"/>
    </row>
    <row r="61" spans="1:14" ht="16.2" x14ac:dyDescent="0.3">
      <c r="C61" s="32" t="s">
        <v>78</v>
      </c>
      <c r="D61" s="8"/>
      <c r="E61" s="8"/>
      <c r="F61" s="8"/>
      <c r="G61" s="8"/>
      <c r="H61" s="2"/>
      <c r="I61" s="2"/>
      <c r="J61" s="2"/>
      <c r="K61" s="69"/>
      <c r="L61" s="69"/>
      <c r="M61" s="69"/>
      <c r="N61" s="69"/>
    </row>
    <row r="62" spans="1:14" ht="10.199999999999999" x14ac:dyDescent="0.2">
      <c r="C62" s="8"/>
      <c r="D62" s="8"/>
      <c r="E62" s="8"/>
      <c r="F62" s="8"/>
      <c r="G62" s="8"/>
      <c r="H62" s="2"/>
      <c r="I62" s="2"/>
      <c r="J62" s="2"/>
      <c r="K62" s="69"/>
      <c r="L62" s="69"/>
      <c r="M62" s="69"/>
      <c r="N62" s="69"/>
    </row>
    <row r="63" spans="1:14" ht="10.5" customHeight="1" x14ac:dyDescent="0.2">
      <c r="C63" s="230" t="s">
        <v>85</v>
      </c>
      <c r="D63" s="230"/>
      <c r="E63" s="230"/>
      <c r="F63" s="33"/>
      <c r="G63" s="33"/>
      <c r="H63" s="33"/>
      <c r="I63" s="33"/>
      <c r="J63"/>
      <c r="K63" s="71"/>
      <c r="L63" s="71"/>
      <c r="M63" s="71"/>
      <c r="N63" s="71"/>
    </row>
    <row r="64" spans="1:14" ht="10.5" customHeight="1" x14ac:dyDescent="0.2">
      <c r="C64" s="230"/>
      <c r="D64" s="230"/>
      <c r="E64" s="230"/>
      <c r="F64" s="33"/>
      <c r="G64" s="33"/>
      <c r="H64" s="33"/>
      <c r="I64" s="33"/>
    </row>
    <row r="65" spans="3:5" ht="10.5" customHeight="1" x14ac:dyDescent="0.2">
      <c r="C65" s="230"/>
      <c r="D65" s="230"/>
      <c r="E65" s="230"/>
    </row>
    <row r="66" spans="3:5" ht="10.199999999999999" x14ac:dyDescent="0.2">
      <c r="C66" s="230"/>
      <c r="D66" s="230"/>
      <c r="E66" s="230"/>
    </row>
    <row r="67" spans="3:5" ht="10.199999999999999" x14ac:dyDescent="0.2"/>
    <row r="68" spans="3:5" ht="10.199999999999999" x14ac:dyDescent="0.2"/>
    <row r="69" spans="3:5" ht="10.199999999999999" x14ac:dyDescent="0.2"/>
    <row r="70" spans="3:5" ht="10.199999999999999" x14ac:dyDescent="0.2"/>
    <row r="71" spans="3:5" ht="10.199999999999999" x14ac:dyDescent="0.2"/>
    <row r="72" spans="3:5" ht="10.199999999999999" x14ac:dyDescent="0.2"/>
    <row r="73" spans="3:5" ht="10.199999999999999" x14ac:dyDescent="0.2"/>
    <row r="74" spans="3:5" ht="10.199999999999999" x14ac:dyDescent="0.2"/>
    <row r="75" spans="3:5" ht="10.199999999999999" x14ac:dyDescent="0.2"/>
    <row r="76" spans="3:5" ht="10.199999999999999" x14ac:dyDescent="0.2"/>
    <row r="77" spans="3:5" ht="10.199999999999999" x14ac:dyDescent="0.2"/>
    <row r="78" spans="3:5" ht="10.199999999999999" x14ac:dyDescent="0.2"/>
    <row r="79" spans="3:5" ht="10.199999999999999" x14ac:dyDescent="0.2"/>
    <row r="80" spans="3:5" ht="10.199999999999999" x14ac:dyDescent="0.2"/>
    <row r="81" spans="1:10" ht="10.199999999999999" x14ac:dyDescent="0.2"/>
    <row r="82" spans="1:10" ht="10.199999999999999" x14ac:dyDescent="0.2"/>
    <row r="83" spans="1:10" ht="10.199999999999999" x14ac:dyDescent="0.2"/>
    <row r="84" spans="1:10" ht="10.199999999999999" x14ac:dyDescent="0.2"/>
    <row r="85" spans="1:10" ht="10.199999999999999" x14ac:dyDescent="0.2"/>
    <row r="86" spans="1:10" ht="10.199999999999999" x14ac:dyDescent="0.2"/>
    <row r="87" spans="1:10" ht="10.199999999999999" x14ac:dyDescent="0.2"/>
    <row r="88" spans="1:10" ht="10.199999999999999" x14ac:dyDescent="0.2"/>
    <row r="89" spans="1:10" ht="10.8" thickBot="1" x14ac:dyDescent="0.25"/>
    <row r="90" spans="1:10" s="70" customFormat="1" ht="18" customHeight="1" x14ac:dyDescent="0.2">
      <c r="A90" s="13"/>
      <c r="B90" s="13"/>
      <c r="C90" s="34" t="str">
        <f>CONCATENATE("Subsidieaanvraag voor ",Beginpagina!$D$7)</f>
        <v>Subsidieaanvraag voor Paragraaf 3.6 Lokale energie-initiatieven 4.0</v>
      </c>
      <c r="D90" s="35"/>
      <c r="E90" s="35"/>
      <c r="F90" s="229" t="s">
        <v>25</v>
      </c>
      <c r="G90" s="229"/>
      <c r="H90" s="229"/>
      <c r="I90" s="229"/>
      <c r="J90" s="13"/>
    </row>
  </sheetData>
  <sheetProtection deleteRows="0"/>
  <mergeCells count="36">
    <mergeCell ref="F18:G18"/>
    <mergeCell ref="F19:G19"/>
    <mergeCell ref="G31:H31"/>
    <mergeCell ref="C25:D25"/>
    <mergeCell ref="C42:D42"/>
    <mergeCell ref="C31:D31"/>
    <mergeCell ref="C37:D37"/>
    <mergeCell ref="G26:H28"/>
    <mergeCell ref="G25:H25"/>
    <mergeCell ref="C29:D30"/>
    <mergeCell ref="C40:D41"/>
    <mergeCell ref="C32:D32"/>
    <mergeCell ref="C35:D35"/>
    <mergeCell ref="C36:D36"/>
    <mergeCell ref="C26:D26"/>
    <mergeCell ref="C33:D33"/>
    <mergeCell ref="C34:D34"/>
    <mergeCell ref="G29:H29"/>
    <mergeCell ref="C63:E66"/>
    <mergeCell ref="F90:I90"/>
    <mergeCell ref="C43:D43"/>
    <mergeCell ref="C46:D46"/>
    <mergeCell ref="C48:D48"/>
    <mergeCell ref="C52:D52"/>
    <mergeCell ref="C51:D51"/>
    <mergeCell ref="C44:D44"/>
    <mergeCell ref="C45:D45"/>
    <mergeCell ref="C47:D47"/>
    <mergeCell ref="E58:I60"/>
    <mergeCell ref="F17:G17"/>
    <mergeCell ref="F11:G11"/>
    <mergeCell ref="F12:G12"/>
    <mergeCell ref="F13:G13"/>
    <mergeCell ref="F14:G14"/>
    <mergeCell ref="F15:G15"/>
    <mergeCell ref="F16:G16"/>
  </mergeCells>
  <conditionalFormatting sqref="C58:D58">
    <cfRule type="expression" dxfId="1" priority="6">
      <formula>$C$58&lt;&gt;$D$58</formula>
    </cfRule>
    <cfRule type="expression" dxfId="0" priority="7">
      <formula>$C$58=$D$58</formula>
    </cfRule>
  </conditionalFormatting>
  <dataValidations count="5">
    <dataValidation allowBlank="1" showInputMessage="1" showErrorMessage="1" prompt="Vul hier de kosten in die u maakt, maar die niet subsidiabel zijn." sqref="C17:E18" xr:uid="{00000000-0002-0000-0700-000000000000}"/>
    <dataValidation type="custom" allowBlank="1" showInputMessage="1" showErrorMessage="1" error="A.u.b. niets wijzigen in de grijze cellen." sqref="C37:E37 C58 C48:E48 C12:D16 C19:G19 C52:D52 F12:F18" xr:uid="{00000000-0002-0000-0700-000001000000}">
      <formula1>FALSE</formula1>
    </dataValidation>
    <dataValidation type="custom" allowBlank="1" showInputMessage="1" showErrorMessage="1" error="Hier a.u.b. geen wijzigingen" sqref="K19:K100 L11:P100 K11 H11:J100 C1:P10 F25:G100 C20:G24 E57:E100 C53:E56 C49:E50 C38:E41 C27:E30 C59:D100 A1:B100" xr:uid="{00000000-0002-0000-0700-000002000000}">
      <formula1>FALSE</formula1>
    </dataValidation>
    <dataValidation allowBlank="1" showInputMessage="1" showErrorMessage="1" error="A.u.b. niets wijzigen in de grijze cellen." sqref="E52 D58 E12:E16" xr:uid="{00000000-0002-0000-0700-000003000000}"/>
    <dataValidation allowBlank="1" showInputMessage="1" showErrorMessage="1" error="Hier a.u.b. geen wijzigingen" sqref="K12:K18" xr:uid="{00000000-0002-0000-0700-000007000000}"/>
  </dataValidations>
  <pageMargins left="0.7" right="0.7" top="0.75" bottom="0.75" header="0.3" footer="0.3"/>
  <pageSetup paperSize="9" scale="77"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Beginpagina</vt:lpstr>
      <vt:lpstr>Personeelskosten</vt:lpstr>
      <vt:lpstr>(Loon)kosten derden</vt:lpstr>
      <vt:lpstr>Overige kosten derden</vt:lpstr>
      <vt:lpstr>Vrijwilligersvergoeding</vt:lpstr>
      <vt:lpstr>Overige kosten vrijwilligers</vt:lpstr>
      <vt:lpstr>Machines en apparatuur</vt:lpstr>
      <vt:lpstr>Totaaloverzicht</vt:lpstr>
      <vt:lpstr>ActiviteitNr</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SSC ONS</cp:lastModifiedBy>
  <cp:lastPrinted>2019-09-12T09:53:41Z</cp:lastPrinted>
  <dcterms:created xsi:type="dcterms:W3CDTF">2019-01-24T13:06:28Z</dcterms:created>
  <dcterms:modified xsi:type="dcterms:W3CDTF">2023-03-30T12:55:08Z</dcterms:modified>
</cp:coreProperties>
</file>